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1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3"/>
  <workbookPr/>
  <mc:AlternateContent xmlns:mc="http://schemas.openxmlformats.org/markup-compatibility/2006">
    <mc:Choice Requires="x15">
      <x15ac:absPath xmlns:x15ac="http://schemas.microsoft.com/office/spreadsheetml/2010/11/ac" url="/Users/amygould/Downloads/"/>
    </mc:Choice>
  </mc:AlternateContent>
  <xr:revisionPtr revIDLastSave="0" documentId="8_{259C707D-91CF-D940-B7D8-8D439B04D14C}" xr6:coauthVersionLast="45" xr6:coauthVersionMax="45" xr10:uidLastSave="{00000000-0000-0000-0000-000000000000}"/>
  <bookViews>
    <workbookView xWindow="0" yWindow="460" windowWidth="22080" windowHeight="9820" tabRatio="754" xr2:uid="{00000000-000D-0000-FFFF-FFFF00000000}"/>
  </bookViews>
  <sheets>
    <sheet name="Overview" sheetId="10" r:id="rId1"/>
    <sheet name="1. Policy Count" sheetId="1" r:id="rId2"/>
    <sheet name="2a. Premiums - stock" sheetId="2" r:id="rId3"/>
    <sheet name="2b. Premiums - sold" sheetId="5" r:id="rId4"/>
    <sheet name="2c. Average Premium" sheetId="3" r:id="rId5"/>
    <sheet name="3. Claims" sheetId="4" r:id="rId6"/>
    <sheet name="4. Technical account" sheetId="6" r:id="rId7"/>
    <sheet name="5a. Premiums - projection (Exp)" sheetId="7" r:id="rId8"/>
    <sheet name="5b. Premiums - projection (Lin)" sheetId="8" r:id="rId9"/>
    <sheet name="5c. Premiums - projection (Oxb)" sheetId="9" r:id="rId10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2" l="1"/>
  <c r="C17" i="3"/>
  <c r="D17" i="3"/>
  <c r="E17" i="3"/>
  <c r="C33" i="3"/>
  <c r="C18" i="3"/>
  <c r="D18" i="3"/>
  <c r="E18" i="3"/>
  <c r="C31" i="3"/>
  <c r="D31" i="3"/>
  <c r="C19" i="3"/>
  <c r="D19" i="3"/>
  <c r="E19" i="3"/>
  <c r="C32" i="3"/>
  <c r="E27" i="3"/>
  <c r="D32" i="3"/>
  <c r="D33" i="3"/>
  <c r="D37" i="3"/>
  <c r="D16" i="2"/>
  <c r="D16" i="5"/>
  <c r="C17" i="1"/>
  <c r="C17" i="2"/>
  <c r="D38" i="3"/>
  <c r="D17" i="2"/>
  <c r="D17" i="5"/>
  <c r="C18" i="2"/>
  <c r="D39" i="3"/>
  <c r="D18" i="2"/>
  <c r="D18" i="5"/>
  <c r="C19" i="2"/>
  <c r="D40" i="3"/>
  <c r="D19" i="2"/>
  <c r="D19" i="5"/>
  <c r="C20" i="2"/>
  <c r="D41" i="3"/>
  <c r="D20" i="2"/>
  <c r="D20" i="5"/>
  <c r="D11" i="6"/>
  <c r="D13" i="4"/>
  <c r="D13" i="6"/>
  <c r="D14" i="6"/>
  <c r="D16" i="6"/>
  <c r="C12" i="2"/>
  <c r="D12" i="2"/>
  <c r="C11" i="2"/>
  <c r="D11" i="2"/>
  <c r="D12" i="5"/>
  <c r="C13" i="2"/>
  <c r="D13" i="2"/>
  <c r="D13" i="5"/>
  <c r="C14" i="2"/>
  <c r="D14" i="2"/>
  <c r="D14" i="5"/>
  <c r="D15" i="5"/>
  <c r="C11" i="6"/>
  <c r="C13" i="6"/>
  <c r="C14" i="6"/>
  <c r="C16" i="6"/>
  <c r="B82" i="10"/>
  <c r="B83" i="10"/>
  <c r="B84" i="10"/>
  <c r="B85" i="10"/>
  <c r="B86" i="10"/>
  <c r="B87" i="10"/>
  <c r="B88" i="10"/>
  <c r="C74" i="10"/>
  <c r="C75" i="10"/>
  <c r="C76" i="10"/>
  <c r="C77" i="10"/>
  <c r="C78" i="10"/>
  <c r="C79" i="10"/>
  <c r="C80" i="10"/>
  <c r="C81" i="10"/>
  <c r="C82" i="10"/>
  <c r="C83" i="10"/>
  <c r="C84" i="10"/>
  <c r="C85" i="10"/>
  <c r="C86" i="10"/>
  <c r="C87" i="10"/>
  <c r="C88" i="10"/>
  <c r="B27" i="9"/>
  <c r="B28" i="9"/>
  <c r="B29" i="9"/>
  <c r="B30" i="9"/>
  <c r="B31" i="9"/>
  <c r="B32" i="9"/>
  <c r="B33" i="9"/>
  <c r="K21" i="9"/>
  <c r="F76" i="10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B27" i="8"/>
  <c r="B28" i="8"/>
  <c r="B29" i="8"/>
  <c r="B30" i="8"/>
  <c r="B31" i="8"/>
  <c r="B32" i="8"/>
  <c r="B33" i="8"/>
  <c r="K21" i="8"/>
  <c r="E76" i="10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B27" i="7"/>
  <c r="B28" i="7"/>
  <c r="B29" i="7"/>
  <c r="B30" i="7"/>
  <c r="B31" i="7"/>
  <c r="B32" i="7"/>
  <c r="B33" i="7"/>
  <c r="C19" i="7"/>
  <c r="C20" i="7"/>
  <c r="C21" i="7"/>
  <c r="C22" i="7"/>
  <c r="C23" i="7"/>
  <c r="C24" i="7"/>
  <c r="C25" i="7"/>
  <c r="C26" i="7"/>
  <c r="C27" i="7"/>
  <c r="C28" i="7"/>
  <c r="C29" i="7"/>
  <c r="C30" i="7"/>
  <c r="D25" i="8"/>
  <c r="D25" i="9"/>
  <c r="E25" i="9"/>
  <c r="C31" i="7"/>
  <c r="C32" i="7"/>
  <c r="C33" i="7"/>
  <c r="E25" i="8"/>
  <c r="G33" i="9"/>
  <c r="F32" i="9"/>
  <c r="D25" i="7"/>
  <c r="K21" i="7"/>
  <c r="D76" i="10"/>
  <c r="C16" i="4"/>
  <c r="C13" i="4"/>
  <c r="C15" i="2"/>
  <c r="E15" i="1"/>
  <c r="B23" i="1"/>
  <c r="C17" i="4"/>
  <c r="F32" i="8"/>
  <c r="E25" i="7"/>
  <c r="G33" i="7"/>
  <c r="G33" i="8"/>
  <c r="D20" i="9"/>
  <c r="E20" i="9"/>
  <c r="D20" i="8"/>
  <c r="D22" i="9"/>
  <c r="E22" i="9"/>
  <c r="D22" i="8"/>
  <c r="D23" i="7"/>
  <c r="D23" i="8"/>
  <c r="D23" i="9"/>
  <c r="E23" i="9"/>
  <c r="I23" i="9"/>
  <c r="D17" i="7"/>
  <c r="D17" i="9"/>
  <c r="D17" i="8"/>
  <c r="D24" i="7"/>
  <c r="D24" i="9"/>
  <c r="E24" i="9"/>
  <c r="D24" i="8"/>
  <c r="D21" i="7"/>
  <c r="D21" i="9"/>
  <c r="E21" i="9"/>
  <c r="I21" i="9"/>
  <c r="D21" i="8"/>
  <c r="D18" i="8"/>
  <c r="D18" i="9"/>
  <c r="E18" i="9"/>
  <c r="C20" i="5"/>
  <c r="D26" i="9"/>
  <c r="D26" i="8"/>
  <c r="D19" i="7"/>
  <c r="D19" i="9"/>
  <c r="E19" i="9"/>
  <c r="I19" i="9"/>
  <c r="D19" i="8"/>
  <c r="C16" i="5"/>
  <c r="C14" i="5"/>
  <c r="C17" i="5"/>
  <c r="C12" i="5"/>
  <c r="C19" i="5"/>
  <c r="C15" i="5"/>
  <c r="D26" i="7"/>
  <c r="C13" i="5"/>
  <c r="D18" i="7"/>
  <c r="D20" i="7"/>
  <c r="D22" i="7"/>
  <c r="C18" i="5"/>
  <c r="D15" i="1"/>
  <c r="F32" i="7"/>
  <c r="I20" i="9"/>
  <c r="I24" i="9"/>
  <c r="I25" i="9"/>
  <c r="I22" i="9"/>
  <c r="E17" i="9"/>
  <c r="F72" i="10"/>
  <c r="E18" i="7"/>
  <c r="E23" i="7"/>
  <c r="E17" i="7"/>
  <c r="D72" i="10"/>
  <c r="E24" i="7"/>
  <c r="I24" i="7"/>
  <c r="E22" i="7"/>
  <c r="E20" i="7"/>
  <c r="E19" i="7"/>
  <c r="E21" i="7"/>
  <c r="E17" i="8"/>
  <c r="E72" i="10"/>
  <c r="E23" i="8"/>
  <c r="E20" i="8"/>
  <c r="F27" i="8"/>
  <c r="E18" i="8"/>
  <c r="E24" i="8"/>
  <c r="G32" i="8"/>
  <c r="E19" i="8"/>
  <c r="I19" i="8"/>
  <c r="E21" i="8"/>
  <c r="E22" i="8"/>
  <c r="G32" i="9"/>
  <c r="F31" i="9"/>
  <c r="G27" i="9"/>
  <c r="F26" i="9"/>
  <c r="E26" i="9"/>
  <c r="F28" i="9"/>
  <c r="G29" i="9"/>
  <c r="F30" i="9"/>
  <c r="G31" i="9"/>
  <c r="G30" i="9"/>
  <c r="F29" i="9"/>
  <c r="G32" i="7"/>
  <c r="F31" i="8"/>
  <c r="G28" i="9"/>
  <c r="F27" i="9"/>
  <c r="G30" i="7"/>
  <c r="F29" i="7"/>
  <c r="G28" i="7"/>
  <c r="D36" i="3"/>
  <c r="I19" i="7"/>
  <c r="G28" i="8"/>
  <c r="I20" i="7"/>
  <c r="F27" i="7"/>
  <c r="I22" i="7"/>
  <c r="I23" i="7"/>
  <c r="I25" i="7"/>
  <c r="I21" i="7"/>
  <c r="G30" i="8"/>
  <c r="I22" i="8"/>
  <c r="G29" i="8"/>
  <c r="I21" i="8"/>
  <c r="I20" i="8"/>
  <c r="G31" i="8"/>
  <c r="I23" i="8"/>
  <c r="I24" i="8"/>
  <c r="I25" i="8"/>
  <c r="I26" i="9"/>
  <c r="E27" i="9"/>
  <c r="E28" i="9"/>
  <c r="E29" i="9"/>
  <c r="E30" i="9"/>
  <c r="E31" i="9"/>
  <c r="E32" i="9"/>
  <c r="E33" i="9"/>
  <c r="G29" i="7"/>
  <c r="F28" i="7"/>
  <c r="F31" i="7"/>
  <c r="G31" i="7"/>
  <c r="F30" i="7"/>
  <c r="F26" i="7"/>
  <c r="E26" i="7"/>
  <c r="I26" i="7"/>
  <c r="E27" i="7"/>
  <c r="G27" i="7"/>
  <c r="F28" i="8"/>
  <c r="F26" i="8"/>
  <c r="E26" i="8"/>
  <c r="F30" i="8"/>
  <c r="F29" i="8"/>
  <c r="G27" i="8"/>
  <c r="I14" i="9"/>
  <c r="F33" i="9"/>
  <c r="K19" i="8"/>
  <c r="E74" i="10"/>
  <c r="K19" i="9"/>
  <c r="F74" i="10"/>
  <c r="K20" i="7"/>
  <c r="D75" i="10"/>
  <c r="K20" i="9"/>
  <c r="F75" i="10"/>
  <c r="K20" i="8"/>
  <c r="E75" i="10"/>
  <c r="K17" i="7"/>
  <c r="K17" i="9"/>
  <c r="K17" i="8"/>
  <c r="K18" i="9"/>
  <c r="F73" i="10"/>
  <c r="K18" i="8"/>
  <c r="E73" i="10"/>
  <c r="G13" i="5"/>
  <c r="K19" i="7"/>
  <c r="D74" i="10"/>
  <c r="G12" i="5"/>
  <c r="K18" i="7"/>
  <c r="D73" i="10"/>
  <c r="H13" i="5"/>
  <c r="E27" i="8"/>
  <c r="I27" i="8"/>
  <c r="I26" i="8"/>
  <c r="I14" i="8"/>
  <c r="F33" i="7"/>
  <c r="F33" i="8"/>
  <c r="K23" i="9"/>
  <c r="F78" i="10"/>
  <c r="K23" i="8"/>
  <c r="E78" i="10"/>
  <c r="K24" i="7"/>
  <c r="D79" i="10"/>
  <c r="K24" i="9"/>
  <c r="F79" i="10"/>
  <c r="K24" i="8"/>
  <c r="E79" i="10"/>
  <c r="K26" i="7"/>
  <c r="D81" i="10"/>
  <c r="K26" i="8"/>
  <c r="E81" i="10"/>
  <c r="K26" i="9"/>
  <c r="F81" i="10"/>
  <c r="K22" i="9"/>
  <c r="F77" i="10"/>
  <c r="K22" i="8"/>
  <c r="E77" i="10"/>
  <c r="E28" i="8"/>
  <c r="I28" i="8"/>
  <c r="D27" i="8"/>
  <c r="K25" i="7"/>
  <c r="D80" i="10"/>
  <c r="K25" i="9"/>
  <c r="F80" i="10"/>
  <c r="K25" i="8"/>
  <c r="E80" i="10"/>
  <c r="H12" i="5"/>
  <c r="H17" i="5"/>
  <c r="K23" i="7"/>
  <c r="D78" i="10"/>
  <c r="H16" i="5"/>
  <c r="K22" i="7"/>
  <c r="D77" i="10"/>
  <c r="H20" i="5"/>
  <c r="G14" i="5"/>
  <c r="H14" i="5"/>
  <c r="H15" i="5"/>
  <c r="G15" i="5"/>
  <c r="H18" i="5"/>
  <c r="K27" i="8"/>
  <c r="E82" i="10"/>
  <c r="D27" i="7"/>
  <c r="I14" i="7"/>
  <c r="D27" i="9"/>
  <c r="K27" i="9"/>
  <c r="F82" i="10"/>
  <c r="E29" i="8"/>
  <c r="I29" i="8"/>
  <c r="D28" i="8"/>
  <c r="K28" i="8"/>
  <c r="E83" i="10"/>
  <c r="G22" i="5"/>
  <c r="H19" i="5"/>
  <c r="H22" i="5"/>
  <c r="I33" i="7"/>
  <c r="I29" i="7"/>
  <c r="I27" i="7"/>
  <c r="E28" i="7"/>
  <c r="D28" i="7"/>
  <c r="I32" i="7"/>
  <c r="I28" i="7"/>
  <c r="I31" i="7"/>
  <c r="I30" i="7"/>
  <c r="E29" i="7"/>
  <c r="K27" i="7"/>
  <c r="D82" i="10"/>
  <c r="E30" i="8"/>
  <c r="I30" i="8"/>
  <c r="D29" i="8"/>
  <c r="K29" i="8"/>
  <c r="E84" i="10"/>
  <c r="D28" i="9"/>
  <c r="K28" i="9"/>
  <c r="F83" i="10"/>
  <c r="C20" i="4"/>
  <c r="D20" i="4"/>
  <c r="C19" i="6"/>
  <c r="C21" i="4"/>
  <c r="D21" i="4"/>
  <c r="D19" i="6"/>
  <c r="K28" i="7"/>
  <c r="D83" i="10"/>
  <c r="E30" i="7"/>
  <c r="D29" i="7"/>
  <c r="D29" i="9"/>
  <c r="K29" i="9"/>
  <c r="F84" i="10"/>
  <c r="E31" i="8"/>
  <c r="I31" i="8"/>
  <c r="D30" i="8"/>
  <c r="K30" i="8"/>
  <c r="E85" i="10"/>
  <c r="D30" i="7"/>
  <c r="E31" i="7"/>
  <c r="K29" i="7"/>
  <c r="D84" i="10"/>
  <c r="E32" i="8"/>
  <c r="I32" i="8"/>
  <c r="D31" i="8"/>
  <c r="K31" i="8"/>
  <c r="E86" i="10"/>
  <c r="D30" i="9"/>
  <c r="K30" i="9"/>
  <c r="F85" i="10"/>
  <c r="E32" i="7"/>
  <c r="D31" i="7"/>
  <c r="K30" i="7"/>
  <c r="D85" i="10"/>
  <c r="D31" i="9"/>
  <c r="K31" i="9"/>
  <c r="F86" i="10"/>
  <c r="E33" i="8"/>
  <c r="I33" i="8"/>
  <c r="D32" i="8"/>
  <c r="K32" i="8"/>
  <c r="E87" i="10"/>
  <c r="K31" i="7"/>
  <c r="D86" i="10"/>
  <c r="E33" i="7"/>
  <c r="D32" i="7"/>
  <c r="D33" i="8"/>
  <c r="D33" i="9"/>
  <c r="D32" i="9"/>
  <c r="K32" i="9"/>
  <c r="F87" i="10"/>
  <c r="C12" i="8"/>
  <c r="K33" i="8"/>
  <c r="E88" i="10"/>
  <c r="K33" i="9"/>
  <c r="C12" i="9"/>
  <c r="K32" i="7"/>
  <c r="D87" i="10"/>
  <c r="D33" i="7"/>
  <c r="C12" i="7"/>
  <c r="C13" i="8"/>
  <c r="F88" i="10"/>
  <c r="C13" i="9"/>
  <c r="K33" i="7"/>
  <c r="C13" i="7"/>
  <c r="D88" i="10"/>
</calcChain>
</file>

<file path=xl/sharedStrings.xml><?xml version="1.0" encoding="utf-8"?>
<sst xmlns="http://schemas.openxmlformats.org/spreadsheetml/2006/main" count="201" uniqueCount="120">
  <si>
    <t>Policies (Exp)</t>
  </si>
  <si>
    <t>End of month</t>
  </si>
  <si>
    <t>Source</t>
  </si>
  <si>
    <t>Lemonade Blog 25 Jan 2017</t>
  </si>
  <si>
    <t>Lemonade Blog 1 June 2017</t>
  </si>
  <si>
    <t>Lemonade Blog 1 June 2017 - by inference</t>
  </si>
  <si>
    <t>Renters</t>
  </si>
  <si>
    <t>Homeowners</t>
  </si>
  <si>
    <t>Premium</t>
  </si>
  <si>
    <t>Policy Count</t>
  </si>
  <si>
    <t>GWP</t>
  </si>
  <si>
    <t>Policies</t>
  </si>
  <si>
    <t>Average premiums</t>
  </si>
  <si>
    <t>Notes</t>
  </si>
  <si>
    <t>Policy count</t>
  </si>
  <si>
    <t>Actual data</t>
  </si>
  <si>
    <t>Total</t>
  </si>
  <si>
    <t>Avg. Premium p.a.</t>
  </si>
  <si>
    <t>Average for 2016</t>
  </si>
  <si>
    <t>Based on 2016 average GWP - see tab</t>
  </si>
  <si>
    <t>Illinois launch 4/4/17; California launch 10/5/17</t>
  </si>
  <si>
    <t>Average for 2017 Jan-June</t>
  </si>
  <si>
    <t>No data on total GWP or Average Premium since January</t>
  </si>
  <si>
    <t>Homeowners' reconstruction cost data disclosed</t>
  </si>
  <si>
    <t>Cost</t>
  </si>
  <si>
    <t>Change</t>
  </si>
  <si>
    <t>31/12 Avg prem</t>
  </si>
  <si>
    <t>No change</t>
  </si>
  <si>
    <t>1/6 Avg prem</t>
  </si>
  <si>
    <t>Rationale</t>
  </si>
  <si>
    <t>Assumptions on average premium</t>
  </si>
  <si>
    <t>Average premium per month</t>
  </si>
  <si>
    <t>Smoothed progression of average premium</t>
  </si>
  <si>
    <t>Policy number * our assumption on average premium</t>
  </si>
  <si>
    <t>Weighted by Jan product mix - no updated data</t>
  </si>
  <si>
    <t>Numbers</t>
  </si>
  <si>
    <t>Claims</t>
  </si>
  <si>
    <t>Since launch</t>
  </si>
  <si>
    <t>Paid</t>
  </si>
  <si>
    <t>Lemonade Blog 25 Jan 2017 - close to $165.50 average premium stated in Lemonade Blog 18 Jan 2017</t>
  </si>
  <si>
    <t>Assumption / Calculation</t>
  </si>
  <si>
    <t>Lemonade Blog 18 Jan 2017</t>
  </si>
  <si>
    <t>Average claim</t>
  </si>
  <si>
    <t>Paid claims ratio</t>
  </si>
  <si>
    <t>Earned premiums</t>
  </si>
  <si>
    <t>Claims ratio</t>
  </si>
  <si>
    <t>Earned premium</t>
  </si>
  <si>
    <t>2016 earned premiums</t>
  </si>
  <si>
    <t>Jan - May 2017 earned premiums</t>
  </si>
  <si>
    <t>Policies SOLD (total)</t>
  </si>
  <si>
    <t>GWP SOLD</t>
  </si>
  <si>
    <t>Premiums - STOCK</t>
  </si>
  <si>
    <t>Premiums - SOLD</t>
  </si>
  <si>
    <t>Policies STOCK (total)</t>
  </si>
  <si>
    <t>GWP STOCK</t>
  </si>
  <si>
    <t>Total earned premiums</t>
  </si>
  <si>
    <t>Written premiums</t>
  </si>
  <si>
    <t>Jan - May 2017</t>
  </si>
  <si>
    <t>Lemonade fee</t>
  </si>
  <si>
    <t>Paid claims</t>
  </si>
  <si>
    <t>Underwriting profit (before reinsurance, IBNR etc.)</t>
  </si>
  <si>
    <t>20% of written premium</t>
  </si>
  <si>
    <t>Technical account (written basis)</t>
  </si>
  <si>
    <t>Month</t>
  </si>
  <si>
    <t>Estimate</t>
  </si>
  <si>
    <t>Forecast</t>
  </si>
  <si>
    <t>n/a</t>
  </si>
  <si>
    <t>NY monthly growth</t>
  </si>
  <si>
    <t>New York estimate / FC</t>
  </si>
  <si>
    <t>Illinois estimate / FC (4 Apr launch)</t>
  </si>
  <si>
    <t>California estimate / FC (10/5 launch)</t>
  </si>
  <si>
    <t>Average</t>
  </si>
  <si>
    <t>Overview</t>
  </si>
  <si>
    <t>Contents</t>
  </si>
  <si>
    <t>1. Policy Count</t>
  </si>
  <si>
    <t>2. Premiums</t>
  </si>
  <si>
    <t>a. stock</t>
  </si>
  <si>
    <t>b. sold</t>
  </si>
  <si>
    <t>c. average</t>
  </si>
  <si>
    <t>3. Claims</t>
  </si>
  <si>
    <t>4. Technical account</t>
  </si>
  <si>
    <t>5. Premiums - projection</t>
  </si>
  <si>
    <t>Throughout this document:</t>
  </si>
  <si>
    <t>Summary of projections:</t>
  </si>
  <si>
    <t>Actual data (from Lemonade)</t>
  </si>
  <si>
    <r>
      <t xml:space="preserve">Disclaimer: </t>
    </r>
    <r>
      <rPr>
        <i/>
        <sz val="11"/>
        <color theme="1"/>
        <rFont val="Calibri"/>
        <family val="2"/>
        <scheme val="minor"/>
      </rPr>
      <t xml:space="preserve">all of these projections have been made from the small dataset available on the Lemonade website. As such, they </t>
    </r>
  </si>
  <si>
    <t>are intended to highlight potential growth outcomes and should not be portrayed as an accurate representation of future growth</t>
  </si>
  <si>
    <t>Premium projection (Exponential)</t>
  </si>
  <si>
    <t>Premium projection (Linear)</t>
  </si>
  <si>
    <t>Premium projection (Oxbow Partners)</t>
  </si>
  <si>
    <t>OPL Assumption / Calculation</t>
  </si>
  <si>
    <t>Summary</t>
  </si>
  <si>
    <t>Summary - Forecasts end Dec '17</t>
  </si>
  <si>
    <t>Policy Stock</t>
  </si>
  <si>
    <t>GWP Stock</t>
  </si>
  <si>
    <t>NY monthly growth rate</t>
  </si>
  <si>
    <t>Month by month policy counts Sept '16 to end May '17</t>
  </si>
  <si>
    <t>GWP estimates from Sept '16 to end May '17</t>
  </si>
  <si>
    <t>Total premium sold over period</t>
  </si>
  <si>
    <t>Sold by month</t>
  </si>
  <si>
    <t>Average premium by policy</t>
  </si>
  <si>
    <t>Average claims costs and loss ratio</t>
  </si>
  <si>
    <t>Written premiums and u/w profit</t>
  </si>
  <si>
    <t>Policy and premium forecasts to end Dec '17</t>
  </si>
  <si>
    <t>Exponential Growth</t>
  </si>
  <si>
    <t>a. Premiums - projection (Exp)</t>
  </si>
  <si>
    <t>b. Premiums - projection (Lin)</t>
  </si>
  <si>
    <t>c. Premiums - projection (Oxbow)</t>
  </si>
  <si>
    <t>Oxbow Partners forecast</t>
  </si>
  <si>
    <t>Linear Growth</t>
  </si>
  <si>
    <t>Exponential</t>
  </si>
  <si>
    <t>Linear</t>
  </si>
  <si>
    <t>Oxbow Partners Forecast</t>
  </si>
  <si>
    <t>Lemonade Data Analysis and Forecasts</t>
  </si>
  <si>
    <t>OPL Forecast</t>
  </si>
  <si>
    <t>Please note that this analysis is our own and has neither been reviewed nor authorised by Lemonade.</t>
  </si>
  <si>
    <t xml:space="preserve">This document is the full Oxbow Partners analysis of the recent Lemonade data release. The analysis included in this spreadsheet is </t>
  </si>
  <si>
    <t>summarised in a blog post that can be found here http://www.oxbowpartners.co.uk/lemonade-june-2017-analysis/</t>
  </si>
  <si>
    <t>The original data from which this analysis has been created can be found on Lemonade's website www.lemonade.com/blog</t>
  </si>
  <si>
    <t>Increased by reconstruction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</si>
</sst>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_-[$$-409]* #,##0_ ;_-[$$-409]* \-#,##0\ ;_-[$$-409]* &quot;-&quot;??_ ;_-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2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0" fillId="0" borderId="0" xfId="0" applyNumberFormat="1"/>
    <xf numFmtId="15" fontId="0" fillId="0" borderId="0" xfId="0" applyNumberFormat="1"/>
    <xf numFmtId="3" fontId="0" fillId="0" borderId="0" xfId="0" applyNumberFormat="1"/>
    <xf numFmtId="3" fontId="0" fillId="2" borderId="0" xfId="0" applyNumberFormat="1" applyFill="1"/>
    <xf numFmtId="0" fontId="0" fillId="0" borderId="0" xfId="0" applyBorder="1"/>
    <xf numFmtId="0" fontId="2" fillId="0" borderId="0" xfId="0" applyFont="1" applyBorder="1"/>
    <xf numFmtId="165" fontId="0" fillId="0" borderId="0" xfId="0" applyNumberFormat="1" applyBorder="1"/>
    <xf numFmtId="3" fontId="0" fillId="0" borderId="0" xfId="0" applyNumberFormat="1" applyFill="1"/>
    <xf numFmtId="0" fontId="0" fillId="0" borderId="0" xfId="0" applyFill="1" applyBorder="1"/>
    <xf numFmtId="14" fontId="2" fillId="0" borderId="0" xfId="0" applyNumberFormat="1" applyFont="1" applyBorder="1"/>
    <xf numFmtId="165" fontId="0" fillId="0" borderId="0" xfId="1" applyNumberFormat="1" applyFont="1" applyFill="1" applyBorder="1"/>
    <xf numFmtId="0" fontId="3" fillId="0" borderId="0" xfId="0" applyFont="1" applyBorder="1"/>
    <xf numFmtId="0" fontId="4" fillId="0" borderId="0" xfId="0" applyFont="1"/>
    <xf numFmtId="0" fontId="3" fillId="0" borderId="0" xfId="0" applyFont="1" applyFill="1" applyBorder="1"/>
    <xf numFmtId="17" fontId="2" fillId="0" borderId="0" xfId="0" applyNumberFormat="1" applyFont="1" applyBorder="1"/>
    <xf numFmtId="16" fontId="0" fillId="0" borderId="0" xfId="0" applyNumberFormat="1" applyBorder="1"/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1" xfId="0" applyNumberFormat="1" applyBorder="1"/>
    <xf numFmtId="3" fontId="0" fillId="0" borderId="1" xfId="0" applyNumberFormat="1" applyFill="1" applyBorder="1"/>
    <xf numFmtId="3" fontId="0" fillId="0" borderId="1" xfId="0" applyNumberFormat="1" applyBorder="1"/>
    <xf numFmtId="0" fontId="0" fillId="0" borderId="2" xfId="0" applyBorder="1"/>
    <xf numFmtId="3" fontId="0" fillId="0" borderId="2" xfId="0" applyNumberFormat="1" applyBorder="1"/>
    <xf numFmtId="0" fontId="5" fillId="0" borderId="0" xfId="0" applyFont="1"/>
    <xf numFmtId="9" fontId="0" fillId="0" borderId="0" xfId="0" applyNumberFormat="1" applyFill="1"/>
    <xf numFmtId="9" fontId="0" fillId="0" borderId="0" xfId="0" applyNumberFormat="1" applyFill="1" applyAlignment="1">
      <alignment horizontal="right"/>
    </xf>
    <xf numFmtId="9" fontId="0" fillId="3" borderId="0" xfId="0" applyNumberFormat="1" applyFill="1"/>
    <xf numFmtId="3" fontId="0" fillId="3" borderId="0" xfId="0" applyNumberFormat="1" applyFill="1"/>
    <xf numFmtId="0" fontId="0" fillId="0" borderId="0" xfId="0" applyAlignment="1">
      <alignment horizontal="right"/>
    </xf>
    <xf numFmtId="0" fontId="6" fillId="0" borderId="0" xfId="0" applyFont="1"/>
    <xf numFmtId="0" fontId="7" fillId="0" borderId="0" xfId="0" applyFont="1"/>
    <xf numFmtId="0" fontId="3" fillId="0" borderId="0" xfId="0" applyFont="1"/>
    <xf numFmtId="9" fontId="0" fillId="2" borderId="0" xfId="0" applyNumberFormat="1" applyFill="1"/>
    <xf numFmtId="0" fontId="3" fillId="0" borderId="0" xfId="0" applyFont="1" applyAlignment="1">
      <alignment horizontal="left"/>
    </xf>
    <xf numFmtId="1" fontId="0" fillId="0" borderId="0" xfId="0" applyNumberFormat="1"/>
    <xf numFmtId="0" fontId="0" fillId="3" borderId="0" xfId="0" applyFont="1" applyFill="1"/>
    <xf numFmtId="0" fontId="8" fillId="0" borderId="0" xfId="0" applyFont="1"/>
    <xf numFmtId="3" fontId="0" fillId="4" borderId="0" xfId="0" applyNumberFormat="1" applyFill="1" applyAlignment="1"/>
    <xf numFmtId="0" fontId="0" fillId="5" borderId="0" xfId="0" applyFont="1" applyFill="1"/>
    <xf numFmtId="3" fontId="0" fillId="4" borderId="0" xfId="0" applyNumberFormat="1" applyFill="1"/>
    <xf numFmtId="165" fontId="0" fillId="4" borderId="0" xfId="1" applyNumberFormat="1" applyFont="1" applyFill="1" applyBorder="1"/>
    <xf numFmtId="9" fontId="0" fillId="4" borderId="0" xfId="0" applyNumberFormat="1" applyFill="1" applyBorder="1"/>
    <xf numFmtId="0" fontId="0" fillId="4" borderId="0" xfId="0" applyFill="1"/>
    <xf numFmtId="3" fontId="0" fillId="5" borderId="0" xfId="0" applyNumberFormat="1" applyFill="1"/>
    <xf numFmtId="165" fontId="0" fillId="5" borderId="0" xfId="1" applyNumberFormat="1" applyFont="1" applyFill="1" applyBorder="1"/>
    <xf numFmtId="9" fontId="0" fillId="5" borderId="0" xfId="0" applyNumberFormat="1" applyFill="1" applyBorder="1"/>
    <xf numFmtId="0" fontId="0" fillId="5" borderId="0" xfId="0" applyFill="1"/>
    <xf numFmtId="9" fontId="0" fillId="5" borderId="0" xfId="0" applyNumberFormat="1" applyFill="1"/>
    <xf numFmtId="0" fontId="0" fillId="5" borderId="0" xfId="0" applyFill="1" applyAlignment="1"/>
    <xf numFmtId="165" fontId="1" fillId="3" borderId="0" xfId="1" applyNumberFormat="1" applyFont="1" applyFill="1"/>
    <xf numFmtId="0" fontId="4" fillId="0" borderId="3" xfId="0" applyFont="1" applyBorder="1"/>
    <xf numFmtId="165" fontId="9" fillId="3" borderId="0" xfId="0" applyNumberFormat="1" applyFont="1" applyFill="1"/>
    <xf numFmtId="166" fontId="9" fillId="3" borderId="0" xfId="0" applyNumberFormat="1" applyFont="1" applyFill="1"/>
    <xf numFmtId="0" fontId="2" fillId="0" borderId="3" xfId="0" applyFont="1" applyBorder="1" applyAlignment="1">
      <alignment wrapText="1"/>
    </xf>
    <xf numFmtId="0" fontId="0" fillId="0" borderId="3" xfId="0" applyBorder="1"/>
    <xf numFmtId="0" fontId="0" fillId="0" borderId="3" xfId="0" applyFont="1" applyBorder="1"/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left" indent="1"/>
    </xf>
    <xf numFmtId="0" fontId="0" fillId="0" borderId="5" xfId="0" applyBorder="1" applyAlignment="1">
      <alignment horizontal="left"/>
    </xf>
    <xf numFmtId="0" fontId="10" fillId="0" borderId="0" xfId="0" applyFont="1"/>
    <xf numFmtId="0" fontId="11" fillId="0" borderId="0" xfId="0" applyFont="1"/>
    <xf numFmtId="0" fontId="0" fillId="0" borderId="0" xfId="0" applyFill="1" applyAlignment="1">
      <alignment horizontal="left"/>
    </xf>
    <xf numFmtId="9" fontId="0" fillId="0" borderId="0" xfId="2" applyFont="1" applyBorder="1"/>
    <xf numFmtId="164" fontId="0" fillId="0" borderId="0" xfId="0" applyNumberFormat="1"/>
    <xf numFmtId="0" fontId="0" fillId="5" borderId="0" xfId="0" applyFill="1" applyAlignment="1">
      <alignment horizontal="left"/>
    </xf>
    <xf numFmtId="0" fontId="2" fillId="0" borderId="0" xfId="0" applyFont="1" applyAlignment="1">
      <alignment horizontal="center"/>
    </xf>
    <xf numFmtId="0" fontId="0" fillId="3" borderId="0" xfId="0" applyFill="1" applyAlignment="1">
      <alignment horizontal="left"/>
    </xf>
    <xf numFmtId="3" fontId="0" fillId="4" borderId="0" xfId="0" applyNumberFormat="1" applyFill="1" applyAlignment="1">
      <alignment horizontal="left"/>
    </xf>
    <xf numFmtId="0" fontId="0" fillId="2" borderId="0" xfId="0" applyFill="1" applyAlignment="1">
      <alignment horizontal="left"/>
    </xf>
  </cellXfs>
  <cellStyles count="3">
    <cellStyle name="Comma" xfId="1" builtinId="3"/>
    <cellStyle name="Normal" xfId="0" builtinId="0"/>
    <cellStyle name="Per cent" xfId="2" builtinId="5"/>
  </cellStyles>
  <dxfs count="0"/>
  <tableStyles count="0" defaultTableStyle="TableStyleMedium2" defaultPivotStyle="PivotStyleLight16"/>
  <colors>
    <mruColors>
      <color rgb="FFFF99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Summary - Lemonade GWP Growth</a:t>
            </a:r>
            <a:endParaRPr lang="en-US" baseline="0"/>
          </a:p>
          <a:p>
            <a:pPr algn="l">
              <a:defRPr/>
            </a:pPr>
            <a:r>
              <a:rPr lang="en-US" sz="1200" baseline="0"/>
              <a:t>Sept '16 to Dec '17</a:t>
            </a:r>
            <a:endParaRPr lang="en-US" sz="1200"/>
          </a:p>
        </c:rich>
      </c:tx>
      <c:layout>
        <c:manualLayout>
          <c:xMode val="edge"/>
          <c:yMode val="edge"/>
          <c:x val="8.3309685808658385E-2"/>
          <c:y val="3.13725412697134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421436943195928"/>
          <c:y val="0.21060263440416627"/>
          <c:w val="0.81293775101711541"/>
          <c:h val="0.55108116693996201"/>
        </c:manualLayout>
      </c:layout>
      <c:lineChart>
        <c:grouping val="standard"/>
        <c:varyColors val="0"/>
        <c:ser>
          <c:idx val="1"/>
          <c:order val="0"/>
          <c:tx>
            <c:strRef>
              <c:f>Overview!$D$71</c:f>
              <c:strCache>
                <c:ptCount val="1"/>
                <c:pt idx="0">
                  <c:v>Exponential</c:v>
                </c:pt>
              </c:strCache>
            </c:strRef>
          </c:tx>
          <c:spPr>
            <a:ln w="34925" cap="rnd">
              <a:solidFill>
                <a:schemeClr val="accent3">
                  <a:lumMod val="75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16"/>
              <c:tx>
                <c:rich>
                  <a:bodyPr/>
                  <a:lstStyle/>
                  <a:p>
                    <a:fld id="{9A9E24FC-4028-429C-B17A-0B6378A56365}" type="VALUE">
                      <a:rPr lang="en-US"/>
                      <a:pPr/>
                      <a:t>[VALUE]</a:t>
                    </a:fld>
                    <a:r>
                      <a:rPr lang="en-US"/>
                      <a:t>m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96A1-413A-93D7-545AAB2599F0}"/>
                </c:ext>
              </c:extLst>
            </c:dLbl>
            <c:numFmt formatCode="[$$-409]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Overview!$B$72:$B$88</c:f>
              <c:numCache>
                <c:formatCode>d\-mmm\-yy</c:formatCode>
                <c:ptCount val="17"/>
                <c:pt idx="0">
                  <c:v>42614</c:v>
                </c:pt>
                <c:pt idx="1">
                  <c:v>42643</c:v>
                </c:pt>
                <c:pt idx="2">
                  <c:v>42674</c:v>
                </c:pt>
                <c:pt idx="3">
                  <c:v>42704</c:v>
                </c:pt>
                <c:pt idx="4">
                  <c:v>42735</c:v>
                </c:pt>
                <c:pt idx="5">
                  <c:v>42766</c:v>
                </c:pt>
                <c:pt idx="6">
                  <c:v>42794</c:v>
                </c:pt>
                <c:pt idx="7">
                  <c:v>42825</c:v>
                </c:pt>
                <c:pt idx="8">
                  <c:v>42855</c:v>
                </c:pt>
                <c:pt idx="9">
                  <c:v>42886</c:v>
                </c:pt>
                <c:pt idx="10">
                  <c:v>42916</c:v>
                </c:pt>
                <c:pt idx="11">
                  <c:v>42947</c:v>
                </c:pt>
                <c:pt idx="12">
                  <c:v>42978</c:v>
                </c:pt>
                <c:pt idx="13">
                  <c:v>43008</c:v>
                </c:pt>
                <c:pt idx="14">
                  <c:v>43039</c:v>
                </c:pt>
                <c:pt idx="15">
                  <c:v>43069</c:v>
                </c:pt>
                <c:pt idx="16">
                  <c:v>43100</c:v>
                </c:pt>
              </c:numCache>
            </c:numRef>
          </c:cat>
          <c:val>
            <c:numRef>
              <c:f>Overview!$D$72:$D$88</c:f>
              <c:numCache>
                <c:formatCode>0</c:formatCode>
                <c:ptCount val="17"/>
                <c:pt idx="0">
                  <c:v>0</c:v>
                </c:pt>
                <c:pt idx="1">
                  <c:v>39092.450413223145</c:v>
                </c:pt>
                <c:pt idx="2">
                  <c:v>76401.21487603306</c:v>
                </c:pt>
                <c:pt idx="3">
                  <c:v>106426.59504132232</c:v>
                </c:pt>
                <c:pt idx="4">
                  <c:v>179855</c:v>
                </c:pt>
                <c:pt idx="5">
                  <c:v>356854.14121154835</c:v>
                </c:pt>
                <c:pt idx="6">
                  <c:v>705344.17213688709</c:v>
                </c:pt>
                <c:pt idx="7">
                  <c:v>1096751.0638503961</c:v>
                </c:pt>
                <c:pt idx="8">
                  <c:v>1883503.5787717353</c:v>
                </c:pt>
                <c:pt idx="9">
                  <c:v>2942582.9452737113</c:v>
                </c:pt>
                <c:pt idx="10">
                  <c:v>4245039.3177148476</c:v>
                </c:pt>
                <c:pt idx="11">
                  <c:v>6978577.7665482061</c:v>
                </c:pt>
                <c:pt idx="12">
                  <c:v>11561173.602899117</c:v>
                </c:pt>
                <c:pt idx="13">
                  <c:v>19201325.137079474</c:v>
                </c:pt>
                <c:pt idx="14">
                  <c:v>31589365.200833149</c:v>
                </c:pt>
                <c:pt idx="15">
                  <c:v>51831957.325421438</c:v>
                </c:pt>
                <c:pt idx="16">
                  <c:v>84955261.717946798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C7-4107-8992-253BC61F0292}"/>
            </c:ext>
          </c:extLst>
        </c:ser>
        <c:ser>
          <c:idx val="2"/>
          <c:order val="1"/>
          <c:tx>
            <c:strRef>
              <c:f>Overview!$E$71</c:f>
              <c:strCache>
                <c:ptCount val="1"/>
                <c:pt idx="0">
                  <c:v>Linear</c:v>
                </c:pt>
              </c:strCache>
            </c:strRef>
          </c:tx>
          <c:spPr>
            <a:ln w="34925" cap="rnd">
              <a:solidFill>
                <a:schemeClr val="bg1">
                  <a:lumMod val="65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16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lt1">
                            <a:lumMod val="8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A30E7A6-FE5E-412C-8B82-B8ED03358455}" type="VALUE">
                      <a:rPr lang="en-US"/>
                      <a:pPr>
                        <a:defRPr/>
                      </a:pPr>
                      <a:t>[VALUE]</a:t>
                    </a:fld>
                    <a:r>
                      <a:rPr lang="en-US"/>
                      <a:t>m</a:t>
                    </a:r>
                  </a:p>
                </c:rich>
              </c:tx>
              <c:numFmt formatCode="[$$-409]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96A1-413A-93D7-545AAB2599F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Overview!$B$72:$B$88</c:f>
              <c:numCache>
                <c:formatCode>d\-mmm\-yy</c:formatCode>
                <c:ptCount val="17"/>
                <c:pt idx="0">
                  <c:v>42614</c:v>
                </c:pt>
                <c:pt idx="1">
                  <c:v>42643</c:v>
                </c:pt>
                <c:pt idx="2">
                  <c:v>42674</c:v>
                </c:pt>
                <c:pt idx="3">
                  <c:v>42704</c:v>
                </c:pt>
                <c:pt idx="4">
                  <c:v>42735</c:v>
                </c:pt>
                <c:pt idx="5">
                  <c:v>42766</c:v>
                </c:pt>
                <c:pt idx="6">
                  <c:v>42794</c:v>
                </c:pt>
                <c:pt idx="7">
                  <c:v>42825</c:v>
                </c:pt>
                <c:pt idx="8">
                  <c:v>42855</c:v>
                </c:pt>
                <c:pt idx="9">
                  <c:v>42886</c:v>
                </c:pt>
                <c:pt idx="10">
                  <c:v>42916</c:v>
                </c:pt>
                <c:pt idx="11">
                  <c:v>42947</c:v>
                </c:pt>
                <c:pt idx="12">
                  <c:v>42978</c:v>
                </c:pt>
                <c:pt idx="13">
                  <c:v>43008</c:v>
                </c:pt>
                <c:pt idx="14">
                  <c:v>43039</c:v>
                </c:pt>
                <c:pt idx="15">
                  <c:v>43069</c:v>
                </c:pt>
                <c:pt idx="16">
                  <c:v>43100</c:v>
                </c:pt>
              </c:numCache>
            </c:numRef>
          </c:cat>
          <c:val>
            <c:numRef>
              <c:f>Overview!$E$72:$E$88</c:f>
              <c:numCache>
                <c:formatCode>#,##0</c:formatCode>
                <c:ptCount val="17"/>
                <c:pt idx="0" formatCode="General">
                  <c:v>0</c:v>
                </c:pt>
                <c:pt idx="1">
                  <c:v>39092.450413223145</c:v>
                </c:pt>
                <c:pt idx="2">
                  <c:v>76401.21487603306</c:v>
                </c:pt>
                <c:pt idx="3">
                  <c:v>106426.59504132232</c:v>
                </c:pt>
                <c:pt idx="4">
                  <c:v>179855</c:v>
                </c:pt>
                <c:pt idx="5">
                  <c:v>356854.14121154835</c:v>
                </c:pt>
                <c:pt idx="6">
                  <c:v>705344.17213688709</c:v>
                </c:pt>
                <c:pt idx="7">
                  <c:v>1096751.0638503961</c:v>
                </c:pt>
                <c:pt idx="8">
                  <c:v>1883503.5787717353</c:v>
                </c:pt>
                <c:pt idx="9">
                  <c:v>2942582.9452737113</c:v>
                </c:pt>
                <c:pt idx="10">
                  <c:v>3878700.4955899171</c:v>
                </c:pt>
                <c:pt idx="11">
                  <c:v>4864768.9823854454</c:v>
                </c:pt>
                <c:pt idx="12">
                  <c:v>6018985.0660537574</c:v>
                </c:pt>
                <c:pt idx="13">
                  <c:v>7459134.2881695544</c:v>
                </c:pt>
                <c:pt idx="14">
                  <c:v>9077092.39939899</c:v>
                </c:pt>
                <c:pt idx="15">
                  <c:v>11014078.71398608</c:v>
                </c:pt>
                <c:pt idx="16">
                  <c:v>13406584.679759096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C7-4107-8992-253BC61F0292}"/>
            </c:ext>
          </c:extLst>
        </c:ser>
        <c:ser>
          <c:idx val="3"/>
          <c:order val="2"/>
          <c:tx>
            <c:strRef>
              <c:f>Overview!$F$71</c:f>
              <c:strCache>
                <c:ptCount val="1"/>
                <c:pt idx="0">
                  <c:v>Oxbow Partners Forecast</c:v>
                </c:pt>
              </c:strCache>
            </c:strRef>
          </c:tx>
          <c:spPr>
            <a:ln w="34925" cap="rnd">
              <a:solidFill>
                <a:srgbClr val="0070C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16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lt1">
                            <a:lumMod val="8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C287399-8C30-4460-9B8C-2159F599C2C0}" type="VALUE">
                      <a:rPr lang="en-US"/>
                      <a:pPr>
                        <a:defRPr/>
                      </a:pPr>
                      <a:t>[VALUE]</a:t>
                    </a:fld>
                    <a:r>
                      <a:rPr lang="en-US"/>
                      <a:t>m</a:t>
                    </a:r>
                  </a:p>
                </c:rich>
              </c:tx>
              <c:numFmt formatCode="[$$-409]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96A1-413A-93D7-545AAB2599F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Overview!$B$72:$B$88</c:f>
              <c:numCache>
                <c:formatCode>d\-mmm\-yy</c:formatCode>
                <c:ptCount val="17"/>
                <c:pt idx="0">
                  <c:v>42614</c:v>
                </c:pt>
                <c:pt idx="1">
                  <c:v>42643</c:v>
                </c:pt>
                <c:pt idx="2">
                  <c:v>42674</c:v>
                </c:pt>
                <c:pt idx="3">
                  <c:v>42704</c:v>
                </c:pt>
                <c:pt idx="4">
                  <c:v>42735</c:v>
                </c:pt>
                <c:pt idx="5">
                  <c:v>42766</c:v>
                </c:pt>
                <c:pt idx="6">
                  <c:v>42794</c:v>
                </c:pt>
                <c:pt idx="7">
                  <c:v>42825</c:v>
                </c:pt>
                <c:pt idx="8">
                  <c:v>42855</c:v>
                </c:pt>
                <c:pt idx="9">
                  <c:v>42886</c:v>
                </c:pt>
                <c:pt idx="10">
                  <c:v>42916</c:v>
                </c:pt>
                <c:pt idx="11">
                  <c:v>42947</c:v>
                </c:pt>
                <c:pt idx="12">
                  <c:v>42978</c:v>
                </c:pt>
                <c:pt idx="13">
                  <c:v>43008</c:v>
                </c:pt>
                <c:pt idx="14">
                  <c:v>43039</c:v>
                </c:pt>
                <c:pt idx="15">
                  <c:v>43069</c:v>
                </c:pt>
                <c:pt idx="16">
                  <c:v>43100</c:v>
                </c:pt>
              </c:numCache>
            </c:numRef>
          </c:cat>
          <c:val>
            <c:numRef>
              <c:f>Overview!$F$72:$F$88</c:f>
              <c:numCache>
                <c:formatCode>#,##0</c:formatCode>
                <c:ptCount val="17"/>
                <c:pt idx="0">
                  <c:v>0</c:v>
                </c:pt>
                <c:pt idx="1">
                  <c:v>39092.450413223145</c:v>
                </c:pt>
                <c:pt idx="2">
                  <c:v>76401.21487603306</c:v>
                </c:pt>
                <c:pt idx="3">
                  <c:v>106426.59504132232</c:v>
                </c:pt>
                <c:pt idx="4">
                  <c:v>179855</c:v>
                </c:pt>
                <c:pt idx="5">
                  <c:v>356854.14121154835</c:v>
                </c:pt>
                <c:pt idx="6">
                  <c:v>705344.17213688709</c:v>
                </c:pt>
                <c:pt idx="7">
                  <c:v>1096751.0638503961</c:v>
                </c:pt>
                <c:pt idx="8">
                  <c:v>1883503.5787717353</c:v>
                </c:pt>
                <c:pt idx="9">
                  <c:v>2942582.9452737113</c:v>
                </c:pt>
                <c:pt idx="10">
                  <c:v>4200000</c:v>
                </c:pt>
                <c:pt idx="11">
                  <c:v>6000000</c:v>
                </c:pt>
                <c:pt idx="12">
                  <c:v>8400000</c:v>
                </c:pt>
                <c:pt idx="13">
                  <c:v>11800000</c:v>
                </c:pt>
                <c:pt idx="14">
                  <c:v>16100000</c:v>
                </c:pt>
                <c:pt idx="15">
                  <c:v>21700000</c:v>
                </c:pt>
                <c:pt idx="16">
                  <c:v>28800000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3C7-4107-8992-253BC61F0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34736"/>
        <c:axId val="227536048"/>
      </c:lineChart>
      <c:dateAx>
        <c:axId val="227534736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536048"/>
        <c:crosses val="autoZero"/>
        <c:auto val="1"/>
        <c:lblOffset val="100"/>
        <c:baseTimeUnit val="months"/>
      </c:dateAx>
      <c:valAx>
        <c:axId val="227536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[$$-409]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534736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3.6035049511272753E-2"/>
                <c:y val="0.408366073492026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900" b="1" i="0" u="none" strike="noStrike" kern="1200" cap="all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n-US"/>
                    <a:t>Millions ($)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866820402758116"/>
          <c:y val="0.88431338352610556"/>
          <c:w val="0.47565161161957825"/>
          <c:h val="5.2941533934467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Lemonade policy numbers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9668929029426299E-2"/>
          <c:y val="0.12472465772032082"/>
          <c:w val="0.87634293125539542"/>
          <c:h val="0.70983352234499075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'1. Policy Count'!$B$11:$B$20</c:f>
              <c:numCache>
                <c:formatCode>d\-mmm\-yy</c:formatCode>
                <c:ptCount val="10"/>
                <c:pt idx="0">
                  <c:v>42614</c:v>
                </c:pt>
                <c:pt idx="1">
                  <c:v>42643</c:v>
                </c:pt>
                <c:pt idx="2">
                  <c:v>42674</c:v>
                </c:pt>
                <c:pt idx="3">
                  <c:v>42704</c:v>
                </c:pt>
                <c:pt idx="4">
                  <c:v>42735</c:v>
                </c:pt>
                <c:pt idx="5">
                  <c:v>42766</c:v>
                </c:pt>
                <c:pt idx="6">
                  <c:v>42794</c:v>
                </c:pt>
                <c:pt idx="7">
                  <c:v>42825</c:v>
                </c:pt>
                <c:pt idx="8">
                  <c:v>42855</c:v>
                </c:pt>
                <c:pt idx="9">
                  <c:v>42886</c:v>
                </c:pt>
              </c:numCache>
            </c:numRef>
          </c:xVal>
          <c:yVal>
            <c:numRef>
              <c:f>'1. Policy Count'!$C$11:$C$20</c:f>
              <c:numCache>
                <c:formatCode>#,##0</c:formatCode>
                <c:ptCount val="10"/>
                <c:pt idx="0">
                  <c:v>0</c:v>
                </c:pt>
                <c:pt idx="1">
                  <c:v>263</c:v>
                </c:pt>
                <c:pt idx="2">
                  <c:v>514</c:v>
                </c:pt>
                <c:pt idx="3">
                  <c:v>716</c:v>
                </c:pt>
                <c:pt idx="4">
                  <c:v>1210</c:v>
                </c:pt>
                <c:pt idx="5">
                  <c:v>2230</c:v>
                </c:pt>
                <c:pt idx="6">
                  <c:v>4115</c:v>
                </c:pt>
                <c:pt idx="7">
                  <c:v>6000</c:v>
                </c:pt>
                <c:pt idx="8">
                  <c:v>9700</c:v>
                </c:pt>
                <c:pt idx="9">
                  <c:v>14315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6B6-46A7-874E-A2F37AB8F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4918648"/>
        <c:axId val="474914056"/>
      </c:scatterChart>
      <c:valAx>
        <c:axId val="474918648"/>
        <c:scaling>
          <c:orientation val="minMax"/>
          <c:max val="42886"/>
          <c:min val="42614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d\-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4914056"/>
        <c:crosses val="autoZero"/>
        <c:crossBetween val="midCat"/>
        <c:majorUnit val="60"/>
      </c:valAx>
      <c:valAx>
        <c:axId val="474914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49186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GB"/>
              <a:t>Lemonade</a:t>
            </a:r>
            <a:r>
              <a:rPr lang="en-GB" baseline="0"/>
              <a:t> Growth Forecasts (Exponential)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'5a. Premiums - projection (Exp)'!$D$16</c:f>
              <c:strCache>
                <c:ptCount val="1"/>
                <c:pt idx="0">
                  <c:v>Policies STOCK (total)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16"/>
              <c:layout>
                <c:manualLayout>
                  <c:x val="-0.10352044636699492"/>
                  <c:y val="-6.60065835070337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35-4760-B923-800355AA8B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'5b. Premiums - projection (Lin)'!$B$17:$B$33</c:f>
              <c:numCache>
                <c:formatCode>d\-mmm\-yy</c:formatCode>
                <c:ptCount val="17"/>
                <c:pt idx="0">
                  <c:v>42614</c:v>
                </c:pt>
                <c:pt idx="1">
                  <c:v>42643</c:v>
                </c:pt>
                <c:pt idx="2">
                  <c:v>42674</c:v>
                </c:pt>
                <c:pt idx="3">
                  <c:v>42704</c:v>
                </c:pt>
                <c:pt idx="4">
                  <c:v>42735</c:v>
                </c:pt>
                <c:pt idx="5">
                  <c:v>42766</c:v>
                </c:pt>
                <c:pt idx="6">
                  <c:v>42794</c:v>
                </c:pt>
                <c:pt idx="7">
                  <c:v>42825</c:v>
                </c:pt>
                <c:pt idx="8">
                  <c:v>42855</c:v>
                </c:pt>
                <c:pt idx="9">
                  <c:v>42886</c:v>
                </c:pt>
                <c:pt idx="10">
                  <c:v>42916</c:v>
                </c:pt>
                <c:pt idx="11">
                  <c:v>42947</c:v>
                </c:pt>
                <c:pt idx="12">
                  <c:v>42978</c:v>
                </c:pt>
                <c:pt idx="13">
                  <c:v>43008</c:v>
                </c:pt>
                <c:pt idx="14">
                  <c:v>43039</c:v>
                </c:pt>
                <c:pt idx="15">
                  <c:v>43069</c:v>
                </c:pt>
                <c:pt idx="16">
                  <c:v>43100</c:v>
                </c:pt>
              </c:numCache>
            </c:numRef>
          </c:cat>
          <c:val>
            <c:numRef>
              <c:f>'5a. Premiums - projection (Exp)'!$D$17:$D$33</c:f>
              <c:numCache>
                <c:formatCode>#,##0</c:formatCode>
                <c:ptCount val="17"/>
                <c:pt idx="0">
                  <c:v>0</c:v>
                </c:pt>
                <c:pt idx="1">
                  <c:v>263</c:v>
                </c:pt>
                <c:pt idx="2">
                  <c:v>514</c:v>
                </c:pt>
                <c:pt idx="3">
                  <c:v>716</c:v>
                </c:pt>
                <c:pt idx="4">
                  <c:v>1210</c:v>
                </c:pt>
                <c:pt idx="5">
                  <c:v>2230</c:v>
                </c:pt>
                <c:pt idx="6">
                  <c:v>4115</c:v>
                </c:pt>
                <c:pt idx="7">
                  <c:v>6000</c:v>
                </c:pt>
                <c:pt idx="8">
                  <c:v>9700</c:v>
                </c:pt>
                <c:pt idx="9">
                  <c:v>14315</c:v>
                </c:pt>
                <c:pt idx="10">
                  <c:v>20651.155451944476</c:v>
                </c:pt>
                <c:pt idx="11">
                  <c:v>33949.201292215497</c:v>
                </c:pt>
                <c:pt idx="12">
                  <c:v>56242.492804262023</c:v>
                </c:pt>
                <c:pt idx="13">
                  <c:v>93410.100734382271</c:v>
                </c:pt>
                <c:pt idx="14">
                  <c:v>153675.11171647327</c:v>
                </c:pt>
                <c:pt idx="15">
                  <c:v>252150.740663112</c:v>
                </c:pt>
                <c:pt idx="16">
                  <c:v>413288.11935300834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35-4760-B923-800355AA8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5746696"/>
        <c:axId val="555747024"/>
      </c:lineChart>
      <c:lineChart>
        <c:grouping val="standard"/>
        <c:varyColors val="0"/>
        <c:ser>
          <c:idx val="1"/>
          <c:order val="1"/>
          <c:tx>
            <c:strRef>
              <c:f>'5a. Premiums - projection (Exp)'!$K$16</c:f>
              <c:strCache>
                <c:ptCount val="1"/>
                <c:pt idx="0">
                  <c:v>GWP STOCK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16"/>
              <c:layout>
                <c:manualLayout>
                  <c:x val="-7.3073256259055239E-2"/>
                  <c:y val="0.1881187629950461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F35-4760-B923-800355AA8B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'5b. Premiums - projection (Lin)'!$B$17:$B$33</c:f>
              <c:numCache>
                <c:formatCode>d\-mmm\-yy</c:formatCode>
                <c:ptCount val="17"/>
                <c:pt idx="0">
                  <c:v>42614</c:v>
                </c:pt>
                <c:pt idx="1">
                  <c:v>42643</c:v>
                </c:pt>
                <c:pt idx="2">
                  <c:v>42674</c:v>
                </c:pt>
                <c:pt idx="3">
                  <c:v>42704</c:v>
                </c:pt>
                <c:pt idx="4">
                  <c:v>42735</c:v>
                </c:pt>
                <c:pt idx="5">
                  <c:v>42766</c:v>
                </c:pt>
                <c:pt idx="6">
                  <c:v>42794</c:v>
                </c:pt>
                <c:pt idx="7">
                  <c:v>42825</c:v>
                </c:pt>
                <c:pt idx="8">
                  <c:v>42855</c:v>
                </c:pt>
                <c:pt idx="9">
                  <c:v>42886</c:v>
                </c:pt>
                <c:pt idx="10">
                  <c:v>42916</c:v>
                </c:pt>
                <c:pt idx="11">
                  <c:v>42947</c:v>
                </c:pt>
                <c:pt idx="12">
                  <c:v>42978</c:v>
                </c:pt>
                <c:pt idx="13">
                  <c:v>43008</c:v>
                </c:pt>
                <c:pt idx="14">
                  <c:v>43039</c:v>
                </c:pt>
                <c:pt idx="15">
                  <c:v>43069</c:v>
                </c:pt>
                <c:pt idx="16">
                  <c:v>43100</c:v>
                </c:pt>
              </c:numCache>
            </c:numRef>
          </c:cat>
          <c:val>
            <c:numRef>
              <c:f>'5a. Premiums - projection (Exp)'!$K$17:$K$33</c:f>
              <c:numCache>
                <c:formatCode>#,##0</c:formatCode>
                <c:ptCount val="17"/>
                <c:pt idx="0">
                  <c:v>0</c:v>
                </c:pt>
                <c:pt idx="1">
                  <c:v>39092.450413223145</c:v>
                </c:pt>
                <c:pt idx="2">
                  <c:v>76401.21487603306</c:v>
                </c:pt>
                <c:pt idx="3">
                  <c:v>106426.59504132232</c:v>
                </c:pt>
                <c:pt idx="4">
                  <c:v>179855</c:v>
                </c:pt>
                <c:pt idx="5">
                  <c:v>356854.14121154835</c:v>
                </c:pt>
                <c:pt idx="6">
                  <c:v>705344.17213688709</c:v>
                </c:pt>
                <c:pt idx="7">
                  <c:v>1096751.0638503961</c:v>
                </c:pt>
                <c:pt idx="8">
                  <c:v>1883503.5787717353</c:v>
                </c:pt>
                <c:pt idx="9">
                  <c:v>2942582.9452737113</c:v>
                </c:pt>
                <c:pt idx="10" formatCode="_-* #,##0_-;\-* #,##0_-;_-* &quot;-&quot;??_-;_-@_-">
                  <c:v>4245039.3177148476</c:v>
                </c:pt>
                <c:pt idx="11" formatCode="_-* #,##0_-;\-* #,##0_-;_-* &quot;-&quot;??_-;_-@_-">
                  <c:v>6978577.7665482061</c:v>
                </c:pt>
                <c:pt idx="12" formatCode="_-* #,##0_-;\-* #,##0_-;_-* &quot;-&quot;??_-;_-@_-">
                  <c:v>11561173.602899117</c:v>
                </c:pt>
                <c:pt idx="13" formatCode="_-* #,##0_-;\-* #,##0_-;_-* &quot;-&quot;??_-;_-@_-">
                  <c:v>19201325.137079474</c:v>
                </c:pt>
                <c:pt idx="14" formatCode="_-* #,##0_-;\-* #,##0_-;_-* &quot;-&quot;??_-;_-@_-">
                  <c:v>31589365.200833149</c:v>
                </c:pt>
                <c:pt idx="15" formatCode="_-* #,##0_-;\-* #,##0_-;_-* &quot;-&quot;??_-;_-@_-">
                  <c:v>51831957.325421438</c:v>
                </c:pt>
                <c:pt idx="16" formatCode="_-* #,##0_-;\-* #,##0_-;_-* &quot;-&quot;??_-;_-@_-">
                  <c:v>84955261.717946798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F35-4760-B923-800355AA8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1827808"/>
        <c:axId val="551829776"/>
      </c:lineChart>
      <c:dateAx>
        <c:axId val="555746696"/>
        <c:scaling>
          <c:orientation val="minMax"/>
        </c:scaling>
        <c:delete val="0"/>
        <c:axPos val="b"/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5747024"/>
        <c:crosses val="autoZero"/>
        <c:auto val="1"/>
        <c:lblOffset val="100"/>
        <c:baseTimeUnit val="months"/>
      </c:dateAx>
      <c:valAx>
        <c:axId val="555747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Policy Stock</a:t>
                </a:r>
                <a:r>
                  <a:rPr lang="en-GB" baseline="0"/>
                  <a:t> (TOTAL)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5746696"/>
        <c:crosses val="autoZero"/>
        <c:crossBetween val="between"/>
      </c:valAx>
      <c:valAx>
        <c:axId val="55182977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GWP STOCK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1827808"/>
        <c:crosses val="max"/>
        <c:crossBetween val="between"/>
      </c:valAx>
      <c:dateAx>
        <c:axId val="551827808"/>
        <c:scaling>
          <c:orientation val="minMax"/>
        </c:scaling>
        <c:delete val="1"/>
        <c:axPos val="b"/>
        <c:numFmt formatCode="d\-mmm\-yy" sourceLinked="1"/>
        <c:majorTickMark val="out"/>
        <c:minorTickMark val="none"/>
        <c:tickLblPos val="nextTo"/>
        <c:crossAx val="551829776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GB"/>
              <a:t>Lemonade</a:t>
            </a:r>
            <a:r>
              <a:rPr lang="en-GB" baseline="0"/>
              <a:t> Growth Forecasts (Linear)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'5b. Premiums - projection (Lin)'!$D$16</c:f>
              <c:strCache>
                <c:ptCount val="1"/>
                <c:pt idx="0">
                  <c:v>Policies STOCK (total)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16"/>
              <c:layout>
                <c:manualLayout>
                  <c:x val="-0.10352044636699492"/>
                  <c:y val="-6.60065835070337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DB-4800-8264-58C438BA68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'5b. Premiums - projection (Lin)'!$B$17:$B$33</c:f>
              <c:numCache>
                <c:formatCode>d\-mmm\-yy</c:formatCode>
                <c:ptCount val="17"/>
                <c:pt idx="0">
                  <c:v>42614</c:v>
                </c:pt>
                <c:pt idx="1">
                  <c:v>42643</c:v>
                </c:pt>
                <c:pt idx="2">
                  <c:v>42674</c:v>
                </c:pt>
                <c:pt idx="3">
                  <c:v>42704</c:v>
                </c:pt>
                <c:pt idx="4">
                  <c:v>42735</c:v>
                </c:pt>
                <c:pt idx="5">
                  <c:v>42766</c:v>
                </c:pt>
                <c:pt idx="6">
                  <c:v>42794</c:v>
                </c:pt>
                <c:pt idx="7">
                  <c:v>42825</c:v>
                </c:pt>
                <c:pt idx="8">
                  <c:v>42855</c:v>
                </c:pt>
                <c:pt idx="9">
                  <c:v>42886</c:v>
                </c:pt>
                <c:pt idx="10">
                  <c:v>42916</c:v>
                </c:pt>
                <c:pt idx="11">
                  <c:v>42947</c:v>
                </c:pt>
                <c:pt idx="12">
                  <c:v>42978</c:v>
                </c:pt>
                <c:pt idx="13">
                  <c:v>43008</c:v>
                </c:pt>
                <c:pt idx="14">
                  <c:v>43039</c:v>
                </c:pt>
                <c:pt idx="15">
                  <c:v>43069</c:v>
                </c:pt>
                <c:pt idx="16">
                  <c:v>43100</c:v>
                </c:pt>
              </c:numCache>
            </c:numRef>
          </c:cat>
          <c:val>
            <c:numRef>
              <c:f>'5b. Premiums - projection (Lin)'!$D$17:$D$33</c:f>
              <c:numCache>
                <c:formatCode>#,##0</c:formatCode>
                <c:ptCount val="17"/>
                <c:pt idx="0">
                  <c:v>0</c:v>
                </c:pt>
                <c:pt idx="1">
                  <c:v>263</c:v>
                </c:pt>
                <c:pt idx="2">
                  <c:v>514</c:v>
                </c:pt>
                <c:pt idx="3">
                  <c:v>716</c:v>
                </c:pt>
                <c:pt idx="4">
                  <c:v>1210</c:v>
                </c:pt>
                <c:pt idx="5">
                  <c:v>2230</c:v>
                </c:pt>
                <c:pt idx="6">
                  <c:v>4115</c:v>
                </c:pt>
                <c:pt idx="7">
                  <c:v>6000</c:v>
                </c:pt>
                <c:pt idx="8">
                  <c:v>9700</c:v>
                </c:pt>
                <c:pt idx="9">
                  <c:v>14315</c:v>
                </c:pt>
                <c:pt idx="10">
                  <c:v>18869</c:v>
                </c:pt>
                <c:pt idx="11">
                  <c:v>23666</c:v>
                </c:pt>
                <c:pt idx="12">
                  <c:v>29281</c:v>
                </c:pt>
                <c:pt idx="13">
                  <c:v>36287</c:v>
                </c:pt>
                <c:pt idx="14">
                  <c:v>44158</c:v>
                </c:pt>
                <c:pt idx="15">
                  <c:v>53581</c:v>
                </c:pt>
                <c:pt idx="16">
                  <c:v>65220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DB-4800-8264-58C438BA6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5746696"/>
        <c:axId val="555747024"/>
      </c:lineChart>
      <c:lineChart>
        <c:grouping val="standard"/>
        <c:varyColors val="0"/>
        <c:ser>
          <c:idx val="1"/>
          <c:order val="1"/>
          <c:tx>
            <c:strRef>
              <c:f>'5b. Premiums - projection (Lin)'!$K$16</c:f>
              <c:strCache>
                <c:ptCount val="1"/>
                <c:pt idx="0">
                  <c:v>GWP STOCK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16"/>
              <c:layout>
                <c:manualLayout>
                  <c:x val="-7.3073256259055239E-2"/>
                  <c:y val="0.1881187629950461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DB-4800-8264-58C438BA68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'5b. Premiums - projection (Lin)'!$B$17:$B$33</c:f>
              <c:numCache>
                <c:formatCode>d\-mmm\-yy</c:formatCode>
                <c:ptCount val="17"/>
                <c:pt idx="0">
                  <c:v>42614</c:v>
                </c:pt>
                <c:pt idx="1">
                  <c:v>42643</c:v>
                </c:pt>
                <c:pt idx="2">
                  <c:v>42674</c:v>
                </c:pt>
                <c:pt idx="3">
                  <c:v>42704</c:v>
                </c:pt>
                <c:pt idx="4">
                  <c:v>42735</c:v>
                </c:pt>
                <c:pt idx="5">
                  <c:v>42766</c:v>
                </c:pt>
                <c:pt idx="6">
                  <c:v>42794</c:v>
                </c:pt>
                <c:pt idx="7">
                  <c:v>42825</c:v>
                </c:pt>
                <c:pt idx="8">
                  <c:v>42855</c:v>
                </c:pt>
                <c:pt idx="9">
                  <c:v>42886</c:v>
                </c:pt>
                <c:pt idx="10">
                  <c:v>42916</c:v>
                </c:pt>
                <c:pt idx="11">
                  <c:v>42947</c:v>
                </c:pt>
                <c:pt idx="12">
                  <c:v>42978</c:v>
                </c:pt>
                <c:pt idx="13">
                  <c:v>43008</c:v>
                </c:pt>
                <c:pt idx="14">
                  <c:v>43039</c:v>
                </c:pt>
                <c:pt idx="15">
                  <c:v>43069</c:v>
                </c:pt>
                <c:pt idx="16">
                  <c:v>43100</c:v>
                </c:pt>
              </c:numCache>
            </c:numRef>
          </c:cat>
          <c:val>
            <c:numRef>
              <c:f>'5b. Premiums - projection (Lin)'!$K$17:$K$33</c:f>
              <c:numCache>
                <c:formatCode>#,##0</c:formatCode>
                <c:ptCount val="17"/>
                <c:pt idx="0">
                  <c:v>0</c:v>
                </c:pt>
                <c:pt idx="1">
                  <c:v>39092.450413223145</c:v>
                </c:pt>
                <c:pt idx="2">
                  <c:v>76401.21487603306</c:v>
                </c:pt>
                <c:pt idx="3">
                  <c:v>106426.59504132232</c:v>
                </c:pt>
                <c:pt idx="4">
                  <c:v>179855</c:v>
                </c:pt>
                <c:pt idx="5">
                  <c:v>356854.14121154835</c:v>
                </c:pt>
                <c:pt idx="6">
                  <c:v>705344.17213688709</c:v>
                </c:pt>
                <c:pt idx="7">
                  <c:v>1096751.0638503961</c:v>
                </c:pt>
                <c:pt idx="8">
                  <c:v>1883503.5787717353</c:v>
                </c:pt>
                <c:pt idx="9">
                  <c:v>2942582.9452737113</c:v>
                </c:pt>
                <c:pt idx="10" formatCode="_-* #,##0_-;\-* #,##0_-;_-* &quot;-&quot;??_-;_-@_-">
                  <c:v>3878700.4955899171</c:v>
                </c:pt>
                <c:pt idx="11" formatCode="_-* #,##0_-;\-* #,##0_-;_-* &quot;-&quot;??_-;_-@_-">
                  <c:v>4864768.9823854454</c:v>
                </c:pt>
                <c:pt idx="12" formatCode="_-* #,##0_-;\-* #,##0_-;_-* &quot;-&quot;??_-;_-@_-">
                  <c:v>6018985.0660537574</c:v>
                </c:pt>
                <c:pt idx="13" formatCode="_-* #,##0_-;\-* #,##0_-;_-* &quot;-&quot;??_-;_-@_-">
                  <c:v>7459134.2881695544</c:v>
                </c:pt>
                <c:pt idx="14" formatCode="_-* #,##0_-;\-* #,##0_-;_-* &quot;-&quot;??_-;_-@_-">
                  <c:v>9077092.39939899</c:v>
                </c:pt>
                <c:pt idx="15" formatCode="_-* #,##0_-;\-* #,##0_-;_-* &quot;-&quot;??_-;_-@_-">
                  <c:v>11014078.71398608</c:v>
                </c:pt>
                <c:pt idx="16" formatCode="_-* #,##0_-;\-* #,##0_-;_-* &quot;-&quot;??_-;_-@_-">
                  <c:v>13406584.679759096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DB-4800-8264-58C438BA6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1827808"/>
        <c:axId val="551829776"/>
      </c:lineChart>
      <c:dateAx>
        <c:axId val="555746696"/>
        <c:scaling>
          <c:orientation val="minMax"/>
        </c:scaling>
        <c:delete val="0"/>
        <c:axPos val="b"/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5747024"/>
        <c:crosses val="autoZero"/>
        <c:auto val="1"/>
        <c:lblOffset val="100"/>
        <c:baseTimeUnit val="months"/>
      </c:dateAx>
      <c:valAx>
        <c:axId val="555747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Policy Stock</a:t>
                </a:r>
                <a:r>
                  <a:rPr lang="en-GB" baseline="0"/>
                  <a:t> (TOTAL)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5746696"/>
        <c:crosses val="autoZero"/>
        <c:crossBetween val="between"/>
      </c:valAx>
      <c:valAx>
        <c:axId val="55182977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GWP STOCK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1827808"/>
        <c:crosses val="max"/>
        <c:crossBetween val="between"/>
      </c:valAx>
      <c:dateAx>
        <c:axId val="551827808"/>
        <c:scaling>
          <c:orientation val="minMax"/>
        </c:scaling>
        <c:delete val="1"/>
        <c:axPos val="b"/>
        <c:numFmt formatCode="d\-mmm\-yy" sourceLinked="1"/>
        <c:majorTickMark val="out"/>
        <c:minorTickMark val="none"/>
        <c:tickLblPos val="nextTo"/>
        <c:crossAx val="551829776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GB"/>
              <a:t>Lemonade</a:t>
            </a:r>
            <a:r>
              <a:rPr lang="en-GB" baseline="0"/>
              <a:t> Growth Forecasts</a:t>
            </a:r>
            <a:br>
              <a:rPr lang="en-GB" baseline="0"/>
            </a:br>
            <a:r>
              <a:rPr lang="en-GB" baseline="0"/>
              <a:t>(Oxbow Partners Forecast)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'5c. Premiums - projection (Oxb)'!$D$16</c:f>
              <c:strCache>
                <c:ptCount val="1"/>
                <c:pt idx="0">
                  <c:v>Policies STOCK (total)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15"/>
              <c:layout>
                <c:manualLayout>
                  <c:x val="-0.10352044636699492"/>
                  <c:y val="-6.60065835070337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96-4A71-BAB0-33B3A12A54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'5b. Premiums - projection (Lin)'!$B$17:$B$33</c:f>
              <c:numCache>
                <c:formatCode>d\-mmm\-yy</c:formatCode>
                <c:ptCount val="17"/>
                <c:pt idx="0">
                  <c:v>42614</c:v>
                </c:pt>
                <c:pt idx="1">
                  <c:v>42643</c:v>
                </c:pt>
                <c:pt idx="2">
                  <c:v>42674</c:v>
                </c:pt>
                <c:pt idx="3">
                  <c:v>42704</c:v>
                </c:pt>
                <c:pt idx="4">
                  <c:v>42735</c:v>
                </c:pt>
                <c:pt idx="5">
                  <c:v>42766</c:v>
                </c:pt>
                <c:pt idx="6">
                  <c:v>42794</c:v>
                </c:pt>
                <c:pt idx="7">
                  <c:v>42825</c:v>
                </c:pt>
                <c:pt idx="8">
                  <c:v>42855</c:v>
                </c:pt>
                <c:pt idx="9">
                  <c:v>42886</c:v>
                </c:pt>
                <c:pt idx="10">
                  <c:v>42916</c:v>
                </c:pt>
                <c:pt idx="11">
                  <c:v>42947</c:v>
                </c:pt>
                <c:pt idx="12">
                  <c:v>42978</c:v>
                </c:pt>
                <c:pt idx="13">
                  <c:v>43008</c:v>
                </c:pt>
                <c:pt idx="14">
                  <c:v>43039</c:v>
                </c:pt>
                <c:pt idx="15">
                  <c:v>43069</c:v>
                </c:pt>
                <c:pt idx="16">
                  <c:v>43100</c:v>
                </c:pt>
              </c:numCache>
            </c:numRef>
          </c:cat>
          <c:val>
            <c:numRef>
              <c:f>'5c. Premiums - projection (Oxb)'!$D$18:$D$33</c:f>
              <c:numCache>
                <c:formatCode>#,##0</c:formatCode>
                <c:ptCount val="16"/>
                <c:pt idx="0">
                  <c:v>263</c:v>
                </c:pt>
                <c:pt idx="1">
                  <c:v>514</c:v>
                </c:pt>
                <c:pt idx="2">
                  <c:v>716</c:v>
                </c:pt>
                <c:pt idx="3">
                  <c:v>1210</c:v>
                </c:pt>
                <c:pt idx="4">
                  <c:v>2230</c:v>
                </c:pt>
                <c:pt idx="5">
                  <c:v>4115</c:v>
                </c:pt>
                <c:pt idx="6">
                  <c:v>6000</c:v>
                </c:pt>
                <c:pt idx="7">
                  <c:v>9700</c:v>
                </c:pt>
                <c:pt idx="8">
                  <c:v>14315</c:v>
                </c:pt>
                <c:pt idx="9">
                  <c:v>20651.155451944476</c:v>
                </c:pt>
                <c:pt idx="10">
                  <c:v>29115.617632722264</c:v>
                </c:pt>
                <c:pt idx="11">
                  <c:v>40961.672333156719</c:v>
                </c:pt>
                <c:pt idx="12">
                  <c:v>57374.474373093137</c:v>
                </c:pt>
                <c:pt idx="13">
                  <c:v>78494.495659944805</c:v>
                </c:pt>
                <c:pt idx="14">
                  <c:v>105697.93427112715</c:v>
                </c:pt>
                <c:pt idx="15">
                  <c:v>140314.2145524653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BB-43B2-81AE-B0CF00B03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5746696"/>
        <c:axId val="555747024"/>
      </c:lineChart>
      <c:lineChart>
        <c:grouping val="standard"/>
        <c:varyColors val="0"/>
        <c:ser>
          <c:idx val="1"/>
          <c:order val="1"/>
          <c:tx>
            <c:strRef>
              <c:f>'5b. Premiums - projection (Lin)'!$K$16</c:f>
              <c:strCache>
                <c:ptCount val="1"/>
                <c:pt idx="0">
                  <c:v>GWP STOCK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15"/>
              <c:layout>
                <c:manualLayout>
                  <c:x val="-7.3073256259055239E-2"/>
                  <c:y val="0.1881187629950461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96-4A71-BAB0-33B3A12A54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'5b. Premiums - projection (Lin)'!$B$17:$B$33</c:f>
              <c:numCache>
                <c:formatCode>d\-mmm\-yy</c:formatCode>
                <c:ptCount val="17"/>
                <c:pt idx="0">
                  <c:v>42614</c:v>
                </c:pt>
                <c:pt idx="1">
                  <c:v>42643</c:v>
                </c:pt>
                <c:pt idx="2">
                  <c:v>42674</c:v>
                </c:pt>
                <c:pt idx="3">
                  <c:v>42704</c:v>
                </c:pt>
                <c:pt idx="4">
                  <c:v>42735</c:v>
                </c:pt>
                <c:pt idx="5">
                  <c:v>42766</c:v>
                </c:pt>
                <c:pt idx="6">
                  <c:v>42794</c:v>
                </c:pt>
                <c:pt idx="7">
                  <c:v>42825</c:v>
                </c:pt>
                <c:pt idx="8">
                  <c:v>42855</c:v>
                </c:pt>
                <c:pt idx="9">
                  <c:v>42886</c:v>
                </c:pt>
                <c:pt idx="10">
                  <c:v>42916</c:v>
                </c:pt>
                <c:pt idx="11">
                  <c:v>42947</c:v>
                </c:pt>
                <c:pt idx="12">
                  <c:v>42978</c:v>
                </c:pt>
                <c:pt idx="13">
                  <c:v>43008</c:v>
                </c:pt>
                <c:pt idx="14">
                  <c:v>43039</c:v>
                </c:pt>
                <c:pt idx="15">
                  <c:v>43069</c:v>
                </c:pt>
                <c:pt idx="16">
                  <c:v>43100</c:v>
                </c:pt>
              </c:numCache>
            </c:numRef>
          </c:cat>
          <c:val>
            <c:numRef>
              <c:f>'5c. Premiums - projection (Oxb)'!$K$18:$K$33</c:f>
              <c:numCache>
                <c:formatCode>#,##0</c:formatCode>
                <c:ptCount val="16"/>
                <c:pt idx="0">
                  <c:v>39092.450413223145</c:v>
                </c:pt>
                <c:pt idx="1">
                  <c:v>76401.21487603306</c:v>
                </c:pt>
                <c:pt idx="2">
                  <c:v>106426.59504132232</c:v>
                </c:pt>
                <c:pt idx="3">
                  <c:v>179855</c:v>
                </c:pt>
                <c:pt idx="4">
                  <c:v>356854.14121154835</c:v>
                </c:pt>
                <c:pt idx="5">
                  <c:v>705344.17213688709</c:v>
                </c:pt>
                <c:pt idx="6">
                  <c:v>1096751.0638503961</c:v>
                </c:pt>
                <c:pt idx="7">
                  <c:v>1883503.5787717353</c:v>
                </c:pt>
                <c:pt idx="8">
                  <c:v>2942582.9452737113</c:v>
                </c:pt>
                <c:pt idx="9" formatCode="_-* #,##0_-;\-* #,##0_-;_-* &quot;-&quot;??_-;_-@_-">
                  <c:v>4200000</c:v>
                </c:pt>
                <c:pt idx="10" formatCode="_-* #,##0_-;\-* #,##0_-;_-* &quot;-&quot;??_-;_-@_-">
                  <c:v>6000000</c:v>
                </c:pt>
                <c:pt idx="11" formatCode="_-* #,##0_-;\-* #,##0_-;_-* &quot;-&quot;??_-;_-@_-">
                  <c:v>8400000</c:v>
                </c:pt>
                <c:pt idx="12" formatCode="_-* #,##0_-;\-* #,##0_-;_-* &quot;-&quot;??_-;_-@_-">
                  <c:v>11800000</c:v>
                </c:pt>
                <c:pt idx="13" formatCode="_-* #,##0_-;\-* #,##0_-;_-* &quot;-&quot;??_-;_-@_-">
                  <c:v>16100000</c:v>
                </c:pt>
                <c:pt idx="14" formatCode="_-* #,##0_-;\-* #,##0_-;_-* &quot;-&quot;??_-;_-@_-">
                  <c:v>21700000</c:v>
                </c:pt>
                <c:pt idx="15" formatCode="_-* #,##0_-;\-* #,##0_-;_-* &quot;-&quot;??_-;_-@_-">
                  <c:v>28800000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3BB-43B2-81AE-B0CF00B03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1827808"/>
        <c:axId val="551829776"/>
      </c:lineChart>
      <c:dateAx>
        <c:axId val="555746696"/>
        <c:scaling>
          <c:orientation val="minMax"/>
        </c:scaling>
        <c:delete val="0"/>
        <c:axPos val="b"/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5747024"/>
        <c:crosses val="autoZero"/>
        <c:auto val="1"/>
        <c:lblOffset val="100"/>
        <c:baseTimeUnit val="months"/>
      </c:dateAx>
      <c:valAx>
        <c:axId val="555747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Policy Stock</a:t>
                </a:r>
                <a:r>
                  <a:rPr lang="en-GB" baseline="0"/>
                  <a:t> (TOTAL)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5746696"/>
        <c:crosses val="autoZero"/>
        <c:crossBetween val="between"/>
      </c:valAx>
      <c:valAx>
        <c:axId val="55182977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GWP STOCK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1827808"/>
        <c:crosses val="max"/>
        <c:crossBetween val="between"/>
      </c:valAx>
      <c:dateAx>
        <c:axId val="551827808"/>
        <c:scaling>
          <c:orientation val="minMax"/>
        </c:scaling>
        <c:delete val="1"/>
        <c:axPos val="b"/>
        <c:numFmt formatCode="d\-mmm\-yy" sourceLinked="1"/>
        <c:majorTickMark val="out"/>
        <c:minorTickMark val="none"/>
        <c:tickLblPos val="nextTo"/>
        <c:crossAx val="551829776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hyperlink" Target="http://www.oxbowpartners.co.uk/" TargetMode="External"/><Relationship Id="rId1" Type="http://schemas.openxmlformats.org/officeDocument/2006/relationships/chart" Target="../charts/chart1.xml"/><Relationship Id="rId4" Type="http://schemas.openxmlformats.org/officeDocument/2006/relationships/hyperlink" Target="mailto:info@oxbowpartners.co.uk" TargetMode="Externa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261937</xdr:colOff>
      <xdr:row>10</xdr:row>
      <xdr:rowOff>95250</xdr:rowOff>
    </xdr:from>
    <xdr:to>
      <xdr:col>12</xdr:col>
      <xdr:colOff>392907</xdr:colOff>
      <xdr:row>31</xdr:row>
      <xdr:rowOff>130970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214313</xdr:colOff>
      <xdr:row>0</xdr:row>
      <xdr:rowOff>0</xdr:rowOff>
    </xdr:from>
    <xdr:to>
      <xdr:col>13</xdr:col>
      <xdr:colOff>59533</xdr:colOff>
      <xdr:row>5</xdr:row>
      <xdr:rowOff>152008</xdr:rowOff>
    </xdr:to>
    <xdr:pic>
      <xdr:nvPicPr>
        <xdr:cNvPr id="10" name="Picture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5907" y="0"/>
          <a:ext cx="5012532" cy="1333108"/>
        </a:xfrm>
        <a:prstGeom prst="rect">
          <a:avLst/>
        </a:prstGeom>
      </xdr:spPr>
    </xdr:pic>
    <xdr:clientData/>
  </xdr:twoCellAnchor>
  <xdr:twoCellAnchor>
    <xdr:from>
      <xdr:col>5</xdr:col>
      <xdr:colOff>619122</xdr:colOff>
      <xdr:row>4</xdr:row>
      <xdr:rowOff>71439</xdr:rowOff>
    </xdr:from>
    <xdr:to>
      <xdr:col>12</xdr:col>
      <xdr:colOff>595309</xdr:colOff>
      <xdr:row>8</xdr:row>
      <xdr:rowOff>54822</xdr:rowOff>
    </xdr:to>
    <xdr:sp macro="" textlink="">
      <xdr:nvSpPr>
        <xdr:cNvPr id="17" name="TextBox 15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9560716" y="1059658"/>
          <a:ext cx="4536281" cy="28103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</a:rPr>
            <a:t>EXPERIENCE-LED ADVICE FOR THE INSURANCE INDUSTRY</a:t>
          </a:r>
        </a:p>
      </xdr:txBody>
    </xdr:sp>
    <xdr:clientData/>
  </xdr:twoCellAnchor>
  <xdr:twoCellAnchor>
    <xdr:from>
      <xdr:col>5</xdr:col>
      <xdr:colOff>392906</xdr:colOff>
      <xdr:row>8</xdr:row>
      <xdr:rowOff>23814</xdr:rowOff>
    </xdr:from>
    <xdr:to>
      <xdr:col>12</xdr:col>
      <xdr:colOff>369093</xdr:colOff>
      <xdr:row>9</xdr:row>
      <xdr:rowOff>114353</xdr:rowOff>
    </xdr:to>
    <xdr:sp macro="" textlink="">
      <xdr:nvSpPr>
        <xdr:cNvPr id="18" name="TextBox 1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9334500" y="1309689"/>
          <a:ext cx="4536281" cy="28103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en-GB" sz="1200" b="0" i="0" u="sng">
              <a:solidFill>
                <a:schemeClr val="accent2"/>
              </a:solidFill>
              <a:latin typeface="Century Gothic" panose="020B0502020202020204" pitchFamily="34" charset="0"/>
            </a:rPr>
            <a:t>info@oxbowpartners.co.uk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533400</xdr:colOff>
      <xdr:row>1</xdr:row>
      <xdr:rowOff>38100</xdr:rowOff>
    </xdr:from>
    <xdr:ext cx="5705475" cy="84382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3152775" y="228600"/>
          <a:ext cx="5705475" cy="843821"/>
        </a:xfrm>
        <a:prstGeom prst="rect">
          <a:avLst/>
        </a:prstGeom>
        <a:solidFill>
          <a:schemeClr val="bg1"/>
        </a:solidFill>
      </xdr:spPr>
      <xdr:txBody>
        <a:bodyPr vertOverflow="clip" horzOverflow="clip" wrap="square" rtlCol="0" anchor="t">
          <a:spAutoFit/>
        </a:bodyPr>
        <a:lstStyle/>
        <a:p>
          <a:pPr marL="285750" indent="-285750">
            <a:buFontTx/>
            <a:buBlip>
              <a:blip xmlns:r="http://schemas.openxmlformats.org/officeDocument/2006/relationships" r:embed="rId1"/>
            </a:buBlip>
          </a:pPr>
          <a:r>
            <a:rPr lang="en-GB" sz="1200" b="1" baseline="0" dirty="0" err="1">
              <a:latin typeface="+mj-lt"/>
            </a:rPr>
            <a:t>Comments on methodology:</a:t>
          </a:r>
        </a:p>
        <a:p>
          <a:pPr marL="285750" indent="-285750">
            <a:buFontTx/>
            <a:buBlip>
              <a:blip xmlns:r="http://schemas.openxmlformats.org/officeDocument/2006/relationships" r:embed="rId1"/>
            </a:buBlip>
          </a:pPr>
          <a:r>
            <a:rPr lang="en-GB" sz="1200" b="0" baseline="0" dirty="0" err="1">
              <a:latin typeface="+mj-lt"/>
            </a:rPr>
            <a:t>Forecast exponential growth rate based on continued 65% growth month on month </a:t>
          </a:r>
        </a:p>
        <a:p>
          <a:pPr marL="285750" indent="-285750">
            <a:buFontTx/>
            <a:buBlip>
              <a:blip xmlns:r="http://schemas.openxmlformats.org/officeDocument/2006/relationships" r:embed="rId1"/>
            </a:buBlip>
          </a:pPr>
          <a:r>
            <a:rPr lang="en-GB" sz="1200" b="0" baseline="0" dirty="0" err="1">
              <a:latin typeface="+mj-lt"/>
            </a:rPr>
            <a:t>We have assumed that IL and CA sold the same number of policies in month 1 as NY and growth is identical.</a:t>
          </a:r>
        </a:p>
      </xdr:txBody>
    </xdr:sp>
    <xdr:clientData/>
  </xdr:oneCellAnchor>
  <xdr:twoCellAnchor>
    <xdr:from>
      <xdr:col>11</xdr:col>
      <xdr:colOff>59532</xdr:colOff>
      <xdr:row>11</xdr:row>
      <xdr:rowOff>1</xdr:rowOff>
    </xdr:from>
    <xdr:to>
      <xdr:col>21</xdr:col>
      <xdr:colOff>244080</xdr:colOff>
      <xdr:row>29</xdr:row>
      <xdr:rowOff>26195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23813</xdr:colOff>
      <xdr:row>0</xdr:row>
      <xdr:rowOff>83344</xdr:rowOff>
    </xdr:from>
    <xdr:to>
      <xdr:col>3</xdr:col>
      <xdr:colOff>428625</xdr:colOff>
      <xdr:row>4</xdr:row>
      <xdr:rowOff>157307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EFC"/>
            </a:clrFrom>
            <a:clrTo>
              <a:srgbClr val="FFFEFC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3" y="83344"/>
          <a:ext cx="3143250" cy="83596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271464</xdr:colOff>
      <xdr:row>0</xdr:row>
      <xdr:rowOff>85727</xdr:rowOff>
    </xdr:from>
    <xdr:ext cx="5705475" cy="84382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2616995" y="85727"/>
          <a:ext cx="5705475" cy="843821"/>
        </a:xfrm>
        <a:prstGeom prst="rect">
          <a:avLst/>
        </a:prstGeom>
        <a:solidFill>
          <a:schemeClr val="bg1"/>
        </a:solidFill>
      </xdr:spPr>
      <xdr:txBody>
        <a:bodyPr vertOverflow="clip" horzOverflow="clip" wrap="square" rtlCol="0" anchor="t">
          <a:spAutoFit/>
        </a:bodyPr>
        <a:lstStyle/>
        <a:p>
          <a:pPr marL="285750" indent="-285750">
            <a:buFontTx/>
            <a:buBlip>
              <a:blip xmlns:r="http://schemas.openxmlformats.org/officeDocument/2006/relationships" r:embed="rId1"/>
            </a:buBlip>
          </a:pPr>
          <a:r>
            <a:rPr lang="en-GB" sz="1200" b="1" baseline="0" dirty="0" err="1">
              <a:latin typeface="+mj-lt"/>
            </a:rPr>
            <a:t>Comments on methodology:</a:t>
          </a:r>
        </a:p>
        <a:p>
          <a:pPr marL="285750" indent="-285750">
            <a:buFontTx/>
            <a:buBlip>
              <a:blip xmlns:r="http://schemas.openxmlformats.org/officeDocument/2006/relationships" r:embed="rId1"/>
            </a:buBlip>
          </a:pPr>
          <a:r>
            <a:rPr lang="en-GB" sz="1200" b="0" baseline="0" dirty="0" err="1">
              <a:latin typeface="+mj-lt"/>
            </a:rPr>
            <a:t>Linear growth rate, linear increase in policies each month</a:t>
          </a:r>
        </a:p>
        <a:p>
          <a:pPr marL="285750" indent="-285750">
            <a:buFontTx/>
            <a:buBlip>
              <a:blip xmlns:r="http://schemas.openxmlformats.org/officeDocument/2006/relationships" r:embed="rId1"/>
            </a:buBlip>
          </a:pPr>
          <a:r>
            <a:rPr lang="en-GB" sz="1200" b="0" baseline="0" dirty="0" err="1">
              <a:latin typeface="+mj-lt"/>
            </a:rPr>
            <a:t>We have assumed that IL and CA sold the same number of policies in month 1 as NY and growth is identical.</a:t>
          </a:r>
        </a:p>
      </xdr:txBody>
    </xdr:sp>
    <xdr:clientData/>
  </xdr:oneCellAnchor>
  <xdr:twoCellAnchor>
    <xdr:from>
      <xdr:col>11</xdr:col>
      <xdr:colOff>65482</xdr:colOff>
      <xdr:row>11</xdr:row>
      <xdr:rowOff>9524</xdr:rowOff>
    </xdr:from>
    <xdr:to>
      <xdr:col>21</xdr:col>
      <xdr:colOff>250030</xdr:colOff>
      <xdr:row>29</xdr:row>
      <xdr:rowOff>35718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23812</xdr:colOff>
      <xdr:row>0</xdr:row>
      <xdr:rowOff>107156</xdr:rowOff>
    </xdr:from>
    <xdr:to>
      <xdr:col>3</xdr:col>
      <xdr:colOff>440531</xdr:colOff>
      <xdr:row>4</xdr:row>
      <xdr:rowOff>181119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EFC"/>
            </a:clrFrom>
            <a:clrTo>
              <a:srgbClr val="FFFEFC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" y="107156"/>
          <a:ext cx="3143250" cy="83596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19050</xdr:colOff>
      <xdr:row>0</xdr:row>
      <xdr:rowOff>171450</xdr:rowOff>
    </xdr:from>
    <xdr:ext cx="5705475" cy="84382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3793331" y="171450"/>
          <a:ext cx="5705475" cy="843821"/>
        </a:xfrm>
        <a:prstGeom prst="rect">
          <a:avLst/>
        </a:prstGeom>
        <a:solidFill>
          <a:schemeClr val="bg1"/>
        </a:solidFill>
      </xdr:spPr>
      <xdr:txBody>
        <a:bodyPr vertOverflow="clip" horzOverflow="clip" wrap="square" rtlCol="0" anchor="t">
          <a:spAutoFit/>
        </a:bodyPr>
        <a:lstStyle/>
        <a:p>
          <a:pPr marL="285750" indent="-285750">
            <a:buFontTx/>
            <a:buBlip>
              <a:blip xmlns:r="http://schemas.openxmlformats.org/officeDocument/2006/relationships" r:embed="rId1"/>
            </a:buBlip>
          </a:pPr>
          <a:r>
            <a:rPr lang="en-GB" sz="1200" b="1" baseline="0" dirty="0" err="1">
              <a:latin typeface="+mj-lt"/>
            </a:rPr>
            <a:t>Comments on methodology:</a:t>
          </a:r>
        </a:p>
        <a:p>
          <a:pPr marL="285750" indent="-285750">
            <a:buFontTx/>
            <a:buBlip>
              <a:blip xmlns:r="http://schemas.openxmlformats.org/officeDocument/2006/relationships" r:embed="rId1"/>
            </a:buBlip>
          </a:pPr>
          <a:r>
            <a:rPr lang="en-GB" sz="1200" b="0" baseline="0" dirty="0" err="1">
              <a:latin typeface="+mj-lt"/>
            </a:rPr>
            <a:t>Assumes gradually declining growth rates to end '17</a:t>
          </a:r>
        </a:p>
        <a:p>
          <a:pPr marL="285750" indent="-285750">
            <a:buFontTx/>
            <a:buBlip>
              <a:blip xmlns:r="http://schemas.openxmlformats.org/officeDocument/2006/relationships" r:embed="rId1"/>
            </a:buBlip>
          </a:pPr>
          <a:r>
            <a:rPr lang="en-GB" sz="1200" b="0" baseline="0" dirty="0" err="1">
              <a:latin typeface="+mj-lt"/>
            </a:rPr>
            <a:t>We have assumed that IL and CA sold the same number of policies in month 1 as NY and growth is identical.</a:t>
          </a:r>
        </a:p>
      </xdr:txBody>
    </xdr:sp>
    <xdr:clientData/>
  </xdr:oneCellAnchor>
  <xdr:twoCellAnchor>
    <xdr:from>
      <xdr:col>11</xdr:col>
      <xdr:colOff>250030</xdr:colOff>
      <xdr:row>10</xdr:row>
      <xdr:rowOff>178594</xdr:rowOff>
    </xdr:from>
    <xdr:to>
      <xdr:col>21</xdr:col>
      <xdr:colOff>434578</xdr:colOff>
      <xdr:row>29</xdr:row>
      <xdr:rowOff>26195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35719</xdr:colOff>
      <xdr:row>0</xdr:row>
      <xdr:rowOff>107157</xdr:rowOff>
    </xdr:from>
    <xdr:to>
      <xdr:col>3</xdr:col>
      <xdr:colOff>464344</xdr:colOff>
      <xdr:row>4</xdr:row>
      <xdr:rowOff>181120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EFC"/>
            </a:clrFrom>
            <a:clrTo>
              <a:srgbClr val="FFFEFC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9" y="107157"/>
          <a:ext cx="3143250" cy="835963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0.6861</cdr:x>
      <cdr:y>0.00967</cdr:y>
    </cdr:from>
    <cdr:to>
      <cdr:x>0.99215</cdr:x>
      <cdr:y>0.17059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914B96A0-80A8-4858-A1CA-2AB52CB1837A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048399" y="39155"/>
          <a:ext cx="2251883" cy="65140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0.00529</cdr:x>
      <cdr:y>0.93174</cdr:y>
    </cdr:from>
    <cdr:to>
      <cdr:x>0.15132</cdr:x>
      <cdr:y>1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1996CF98-0750-4BCA-A7FA-6E13C3A24E53}"/>
            </a:ext>
          </a:extLst>
        </cdr:cNvPr>
        <cdr:cNvSpPr txBox="1"/>
      </cdr:nvSpPr>
      <cdr:spPr>
        <a:xfrm xmlns:a="http://schemas.openxmlformats.org/drawingml/2006/main">
          <a:off x="38893" y="3771796"/>
          <a:ext cx="1074510" cy="2763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Source: Oxbow Partners analysis of Lemonade</a:t>
          </a:r>
          <a:r>
            <a:rPr lang="en-GB" sz="6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actuals @ 1st June 2017</a:t>
          </a:r>
          <a:endParaRPr lang="en-GB" sz="300">
            <a:solidFill>
              <a:schemeClr val="bg1"/>
            </a:solidFill>
            <a:effectLst/>
          </a:endParaRPr>
        </a:p>
      </cdr:txBody>
    </cdr:sp>
  </cdr:relSizeAnchor>
  <cdr:relSizeAnchor xmlns:cdr="http://schemas.openxmlformats.org/drawingml/2006/chartDrawing">
    <cdr:from>
      <cdr:x>0.56149</cdr:x>
      <cdr:y>0.23235</cdr:y>
    </cdr:from>
    <cdr:to>
      <cdr:x>0.56226</cdr:x>
      <cdr:y>0.76471</cdr:y>
    </cdr:to>
    <cdr:cxnSp macro="">
      <cdr:nvCxnSpPr>
        <cdr:cNvPr id="8" name="Straight Connector 7">
          <a:extLst xmlns:a="http://schemas.openxmlformats.org/drawingml/2006/main">
            <a:ext uri="{FF2B5EF4-FFF2-40B4-BE49-F238E27FC236}">
              <a16:creationId xmlns:a16="http://schemas.microsoft.com/office/drawing/2014/main" id="{1EF19F4C-2985-49CA-AC10-B6CD1E4D5E6D}"/>
            </a:ext>
          </a:extLst>
        </cdr:cNvPr>
        <cdr:cNvCxnSpPr/>
      </cdr:nvCxnSpPr>
      <cdr:spPr>
        <a:xfrm xmlns:a="http://schemas.openxmlformats.org/drawingml/2006/main" flipV="1">
          <a:off x="4131468" y="940595"/>
          <a:ext cx="5687" cy="215503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0.44218</cdr:x>
      <cdr:y>0.2449</cdr:y>
    </cdr:from>
    <cdr:to>
      <cdr:x>0.68212</cdr:x>
      <cdr:y>0.32135</cdr:y>
    </cdr:to>
    <cdr:grpSp>
      <cdr:nvGrpSpPr>
        <cdr:cNvPr id="9" name="Group 8">
          <a:extLst xmlns:a="http://schemas.openxmlformats.org/drawingml/2006/main">
            <a:ext uri="{FF2B5EF4-FFF2-40B4-BE49-F238E27FC236}">
              <a16:creationId xmlns:a16="http://schemas.microsoft.com/office/drawing/2014/main" id="{8F1CC2D3-7F44-4568-B886-2A30A1F80AA0}"/>
            </a:ext>
          </a:extLst>
        </cdr:cNvPr>
        <cdr:cNvGrpSpPr/>
      </cdr:nvGrpSpPr>
      <cdr:grpSpPr>
        <a:xfrm xmlns:a="http://schemas.openxmlformats.org/drawingml/2006/main">
          <a:off x="3657567" y="991581"/>
          <a:ext cx="1984705" cy="309539"/>
          <a:chOff x="0" y="0"/>
          <a:chExt cx="1762839" cy="309490"/>
        </a:xfrm>
      </cdr:grpSpPr>
      <cdr:sp macro="" textlink="">
        <cdr:nvSpPr>
          <cdr:cNvPr id="10" name="TextBox 3">
            <a:extLst xmlns:a="http://schemas.openxmlformats.org/drawingml/2006/main">
              <a:ext uri="{FF2B5EF4-FFF2-40B4-BE49-F238E27FC236}">
                <a16:creationId xmlns:a16="http://schemas.microsoft.com/office/drawing/2014/main" id="{D8FE0830-AC3A-4DFE-B945-A4E2803A0842}"/>
              </a:ext>
            </a:extLst>
          </cdr:cNvPr>
          <cdr:cNvSpPr txBox="1"/>
        </cdr:nvSpPr>
        <cdr:spPr>
          <a:xfrm xmlns:a="http://schemas.openxmlformats.org/drawingml/2006/main">
            <a:off x="0" y="0"/>
            <a:ext cx="770010" cy="30949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non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r"/>
            <a:r>
              <a:rPr lang="en-GB" sz="1100">
                <a:solidFill>
                  <a:schemeClr val="bg1"/>
                </a:solidFill>
                <a:latin typeface="+mj-lt"/>
              </a:rPr>
              <a:t>ACTUALS</a:t>
            </a:r>
          </a:p>
        </cdr:txBody>
      </cdr:sp>
      <cdr:sp macro="" textlink="">
        <cdr:nvSpPr>
          <cdr:cNvPr id="11" name="TextBox 4">
            <a:extLst xmlns:a="http://schemas.openxmlformats.org/drawingml/2006/main">
              <a:ext uri="{FF2B5EF4-FFF2-40B4-BE49-F238E27FC236}">
                <a16:creationId xmlns:a16="http://schemas.microsoft.com/office/drawing/2014/main" id="{ADE4A03A-3E11-40DB-A37F-6D6CC865347A}"/>
              </a:ext>
            </a:extLst>
          </cdr:cNvPr>
          <cdr:cNvSpPr txBox="1"/>
        </cdr:nvSpPr>
        <cdr:spPr>
          <a:xfrm xmlns:a="http://schemas.openxmlformats.org/drawingml/2006/main">
            <a:off x="992829" y="0"/>
            <a:ext cx="770010" cy="30949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non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GB" sz="1100">
                <a:solidFill>
                  <a:schemeClr val="bg1"/>
                </a:solidFill>
                <a:latin typeface="+mj-lt"/>
              </a:rPr>
              <a:t>FORECAST</a:t>
            </a:r>
          </a:p>
        </cdr:txBody>
      </cdr:sp>
      <cdr:sp macro="" textlink="">
        <cdr:nvSpPr>
          <cdr:cNvPr id="12" name="Isosceles Triangle 11">
            <a:extLst xmlns:a="http://schemas.openxmlformats.org/drawingml/2006/main">
              <a:ext uri="{FF2B5EF4-FFF2-40B4-BE49-F238E27FC236}">
                <a16:creationId xmlns:a16="http://schemas.microsoft.com/office/drawing/2014/main" id="{2C0B475A-B207-46A1-B74F-258EFC39A4F9}"/>
              </a:ext>
            </a:extLst>
          </cdr:cNvPr>
          <cdr:cNvSpPr/>
        </cdr:nvSpPr>
        <cdr:spPr>
          <a:xfrm xmlns:a="http://schemas.openxmlformats.org/drawingml/2006/main" rot="16200000">
            <a:off x="738534" y="96433"/>
            <a:ext cx="119700" cy="88525"/>
          </a:xfrm>
          <a:prstGeom xmlns:a="http://schemas.openxmlformats.org/drawingml/2006/main" prst="triangle">
            <a:avLst/>
          </a:prstGeom>
          <a:solidFill xmlns:a="http://schemas.openxmlformats.org/drawingml/2006/main">
            <a:sysClr val="window" lastClr="FFFFFF"/>
          </a:solidFill>
          <a:ln xmlns:a="http://schemas.openxmlformats.org/drawingml/2006/main">
            <a:noFill/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US"/>
          </a:p>
        </cdr:txBody>
      </cdr:sp>
      <cdr:sp macro="" textlink="">
        <cdr:nvSpPr>
          <cdr:cNvPr id="13" name="Isosceles Triangle 12">
            <a:extLst xmlns:a="http://schemas.openxmlformats.org/drawingml/2006/main">
              <a:ext uri="{FF2B5EF4-FFF2-40B4-BE49-F238E27FC236}">
                <a16:creationId xmlns:a16="http://schemas.microsoft.com/office/drawing/2014/main" id="{E7A06A8E-97CA-4BD9-A0D0-B3E91C38040E}"/>
              </a:ext>
            </a:extLst>
          </cdr:cNvPr>
          <cdr:cNvSpPr/>
        </cdr:nvSpPr>
        <cdr:spPr>
          <a:xfrm xmlns:a="http://schemas.openxmlformats.org/drawingml/2006/main" rot="5400000">
            <a:off x="913853" y="96434"/>
            <a:ext cx="119700" cy="88526"/>
          </a:xfrm>
          <a:prstGeom xmlns:a="http://schemas.openxmlformats.org/drawingml/2006/main" prst="triangle">
            <a:avLst/>
          </a:prstGeom>
          <a:solidFill xmlns:a="http://schemas.openxmlformats.org/drawingml/2006/main">
            <a:sysClr val="window" lastClr="FFFFFF"/>
          </a:solidFill>
          <a:ln xmlns:a="http://schemas.openxmlformats.org/drawingml/2006/main">
            <a:noFill/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US"/>
          </a:p>
        </cdr:txBody>
      </cdr:sp>
    </cdr:grp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169068</xdr:colOff>
      <xdr:row>5</xdr:row>
      <xdr:rowOff>45243</xdr:rowOff>
    </xdr:from>
    <xdr:to>
      <xdr:col>23</xdr:col>
      <xdr:colOff>154781</xdr:colOff>
      <xdr:row>24</xdr:row>
      <xdr:rowOff>154781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35719</xdr:colOff>
      <xdr:row>0</xdr:row>
      <xdr:rowOff>130969</xdr:rowOff>
    </xdr:from>
    <xdr:to>
      <xdr:col>3</xdr:col>
      <xdr:colOff>762000</xdr:colOff>
      <xdr:row>5</xdr:row>
      <xdr:rowOff>14432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EFC"/>
            </a:clrFrom>
            <a:clrTo>
              <a:srgbClr val="FFFEFC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9" y="130969"/>
          <a:ext cx="3143250" cy="835963"/>
        </a:xfrm>
        <a:prstGeom prst="rect">
          <a:avLst/>
        </a:prstGeom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0.00696</cdr:x>
      <cdr:y>0.92688</cdr:y>
    </cdr:from>
    <cdr:to>
      <cdr:x>0.15418</cdr:x>
      <cdr:y>1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FEDD9A6D-C9B8-4843-8C5E-983F5FF34283}"/>
            </a:ext>
          </a:extLst>
        </cdr:cNvPr>
        <cdr:cNvSpPr txBox="1"/>
      </cdr:nvSpPr>
      <cdr:spPr>
        <a:xfrm xmlns:a="http://schemas.openxmlformats.org/drawingml/2006/main">
          <a:off x="50800" y="3551313"/>
          <a:ext cx="1074852" cy="276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dirty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Source: Oxbow Partners analysis of Lemonade</a:t>
          </a:r>
          <a:r>
            <a:rPr lang="en-GB" sz="600" baseline="0" dirty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actuals @ 1st June 2017</a:t>
          </a:r>
          <a:endParaRPr lang="en-GB" sz="300" dirty="0">
            <a:solidFill>
              <a:schemeClr val="bg1"/>
            </a:solidFill>
            <a:effectLst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35719</xdr:colOff>
      <xdr:row>0</xdr:row>
      <xdr:rowOff>119063</xdr:rowOff>
    </xdr:from>
    <xdr:to>
      <xdr:col>3</xdr:col>
      <xdr:colOff>762000</xdr:colOff>
      <xdr:row>5</xdr:row>
      <xdr:rowOff>2526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EFC"/>
            </a:clrFrom>
            <a:clrTo>
              <a:srgbClr val="FFFEFC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9" y="119063"/>
          <a:ext cx="3143250" cy="83596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35719</xdr:colOff>
      <xdr:row>0</xdr:row>
      <xdr:rowOff>119063</xdr:rowOff>
    </xdr:from>
    <xdr:to>
      <xdr:col>3</xdr:col>
      <xdr:colOff>762000</xdr:colOff>
      <xdr:row>5</xdr:row>
      <xdr:rowOff>2526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EFC"/>
            </a:clrFrom>
            <a:clrTo>
              <a:srgbClr val="FFFEFC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9" y="119063"/>
          <a:ext cx="3143250" cy="83596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35718</xdr:colOff>
      <xdr:row>0</xdr:row>
      <xdr:rowOff>119062</xdr:rowOff>
    </xdr:from>
    <xdr:to>
      <xdr:col>3</xdr:col>
      <xdr:colOff>892968</xdr:colOff>
      <xdr:row>5</xdr:row>
      <xdr:rowOff>2525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EFC"/>
            </a:clrFrom>
            <a:clrTo>
              <a:srgbClr val="FFFEFC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8" y="119062"/>
          <a:ext cx="3143250" cy="83596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59532</xdr:colOff>
      <xdr:row>0</xdr:row>
      <xdr:rowOff>166687</xdr:rowOff>
    </xdr:from>
    <xdr:to>
      <xdr:col>3</xdr:col>
      <xdr:colOff>785813</xdr:colOff>
      <xdr:row>5</xdr:row>
      <xdr:rowOff>50150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EFC"/>
            </a:clrFrom>
            <a:clrTo>
              <a:srgbClr val="FFFEFC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2" y="166687"/>
          <a:ext cx="3143250" cy="83596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35719</xdr:colOff>
      <xdr:row>0</xdr:row>
      <xdr:rowOff>130969</xdr:rowOff>
    </xdr:from>
    <xdr:to>
      <xdr:col>1</xdr:col>
      <xdr:colOff>3024188</xdr:colOff>
      <xdr:row>5</xdr:row>
      <xdr:rowOff>14432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EFC"/>
            </a:clrFrom>
            <a:clrTo>
              <a:srgbClr val="FFFEFC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9" y="130969"/>
          <a:ext cx="3143250" cy="835963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P theme">
  <a:themeElements>
    <a:clrScheme name="Oxbow Partners">
      <a:dk1>
        <a:srgbClr val="000000"/>
      </a:dk1>
      <a:lt1>
        <a:srgbClr val="FFFFFF"/>
      </a:lt1>
      <a:dk2>
        <a:srgbClr val="484759"/>
      </a:dk2>
      <a:lt2>
        <a:srgbClr val="CCC4C0"/>
      </a:lt2>
      <a:accent1>
        <a:srgbClr val="4A5B8A"/>
      </a:accent1>
      <a:accent2>
        <a:srgbClr val="8B8CB0"/>
      </a:accent2>
      <a:accent3>
        <a:srgbClr val="8DB6A7"/>
      </a:accent3>
      <a:accent4>
        <a:srgbClr val="BAD0C4"/>
      </a:accent4>
      <a:accent5>
        <a:srgbClr val="494340"/>
      </a:accent5>
      <a:accent6>
        <a:srgbClr val="51685F"/>
      </a:accent6>
      <a:hlink>
        <a:srgbClr val="4A5B8A"/>
      </a:hlink>
      <a:folHlink>
        <a:srgbClr val="8B8CB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1"/>
        </a:solidFill>
        <a:ln>
          <a:solidFill>
            <a:schemeClr val="accent1"/>
          </a:solidFill>
        </a:ln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square" rtlCol="0">
        <a:spAutoFit/>
      </a:bodyPr>
      <a:lstStyle>
        <a:defPPr marL="285750" indent="-285750">
          <a:buFontTx/>
          <a:buBlip>
            <a:blip xmlns:r="http://schemas.openxmlformats.org/officeDocument/2006/relationships" r:embed="rId1"/>
          </a:buBlip>
          <a:defRPr sz="2400" b="0" dirty="0" err="1" smtClean="0">
            <a:latin typeface="+mj-lt"/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OP theme" id="{7C39B353-1EEE-4FE3-9EAA-381476320E28}" vid="{014F5FC4-3729-4866-A68F-92FA1AAF3309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88"/>
  <sheetViews>
    <sheetView showGridLines="0" tabSelected="1" topLeftCell="A2" zoomScaleNormal="100" workbookViewId="0">
      <selection activeCell="B6" sqref="B6"/>
    </sheetView>
  </sheetViews>
  <sheetFormatPr baseColWidth="10" defaultColWidth="8.83203125" defaultRowHeight="15" x14ac:dyDescent="0.2"/>
  <cols>
    <col min="1" max="1" width="1.83203125" customWidth="1"/>
    <col min="2" max="2" width="35.5" customWidth="1"/>
    <col min="3" max="3" width="56.6640625" customWidth="1"/>
    <col min="4" max="4" width="20.33203125" bestFit="1" customWidth="1"/>
    <col min="5" max="5" width="19.5" customWidth="1"/>
    <col min="6" max="6" width="21" customWidth="1"/>
    <col min="7" max="7" width="1.83203125" customWidth="1"/>
  </cols>
  <sheetData>
    <row r="2" spans="2:2" ht="37" x14ac:dyDescent="0.45">
      <c r="B2" s="65" t="s">
        <v>113</v>
      </c>
    </row>
    <row r="3" spans="2:2" ht="8.25" customHeight="1" x14ac:dyDescent="0.2"/>
    <row r="4" spans="2:2" ht="19" x14ac:dyDescent="0.25">
      <c r="B4" s="66" t="s">
        <v>91</v>
      </c>
    </row>
    <row r="5" spans="2:2" x14ac:dyDescent="0.2">
      <c r="B5" t="s">
        <v>116</v>
      </c>
    </row>
    <row r="6" spans="2:2" x14ac:dyDescent="0.2">
      <c r="B6" t="s">
        <v>117</v>
      </c>
    </row>
    <row r="7" spans="2:2" x14ac:dyDescent="0.2">
      <c r="B7" t="s">
        <v>118</v>
      </c>
    </row>
    <row r="9" spans="2:2" x14ac:dyDescent="0.2">
      <c r="B9" s="40" t="s">
        <v>85</v>
      </c>
    </row>
    <row r="10" spans="2:2" x14ac:dyDescent="0.2">
      <c r="B10" s="33" t="s">
        <v>86</v>
      </c>
    </row>
    <row r="11" spans="2:2" x14ac:dyDescent="0.2">
      <c r="B11" s="33" t="s">
        <v>115</v>
      </c>
    </row>
    <row r="13" spans="2:2" x14ac:dyDescent="0.2">
      <c r="B13" s="35" t="s">
        <v>82</v>
      </c>
    </row>
    <row r="14" spans="2:2" x14ac:dyDescent="0.2">
      <c r="B14" s="41" t="s">
        <v>84</v>
      </c>
    </row>
    <row r="15" spans="2:2" x14ac:dyDescent="0.2">
      <c r="B15" s="42" t="s">
        <v>90</v>
      </c>
    </row>
    <row r="16" spans="2:2" x14ac:dyDescent="0.2">
      <c r="B16" s="39" t="s">
        <v>114</v>
      </c>
    </row>
    <row r="17" spans="2:3" x14ac:dyDescent="0.2">
      <c r="B17" s="34"/>
    </row>
    <row r="19" spans="2:3" ht="16" thickBot="1" x14ac:dyDescent="0.25">
      <c r="B19" s="59" t="s">
        <v>73</v>
      </c>
      <c r="C19" s="59" t="s">
        <v>72</v>
      </c>
    </row>
    <row r="20" spans="2:3" x14ac:dyDescent="0.2">
      <c r="B20" s="60" t="s">
        <v>74</v>
      </c>
      <c r="C20" s="61" t="s">
        <v>96</v>
      </c>
    </row>
    <row r="21" spans="2:3" x14ac:dyDescent="0.2">
      <c r="B21" s="62" t="s">
        <v>75</v>
      </c>
      <c r="C21" s="62" t="s">
        <v>97</v>
      </c>
    </row>
    <row r="22" spans="2:3" x14ac:dyDescent="0.2">
      <c r="B22" s="63" t="s">
        <v>76</v>
      </c>
      <c r="C22" s="62" t="s">
        <v>98</v>
      </c>
    </row>
    <row r="23" spans="2:3" x14ac:dyDescent="0.2">
      <c r="B23" s="63" t="s">
        <v>77</v>
      </c>
      <c r="C23" s="62" t="s">
        <v>99</v>
      </c>
    </row>
    <row r="24" spans="2:3" x14ac:dyDescent="0.2">
      <c r="B24" s="63" t="s">
        <v>78</v>
      </c>
      <c r="C24" s="62" t="s">
        <v>100</v>
      </c>
    </row>
    <row r="25" spans="2:3" x14ac:dyDescent="0.2">
      <c r="B25" s="64" t="s">
        <v>79</v>
      </c>
      <c r="C25" s="62" t="s">
        <v>101</v>
      </c>
    </row>
    <row r="26" spans="2:3" x14ac:dyDescent="0.2">
      <c r="B26" s="64" t="s">
        <v>80</v>
      </c>
      <c r="C26" s="62" t="s">
        <v>102</v>
      </c>
    </row>
    <row r="27" spans="2:3" x14ac:dyDescent="0.2">
      <c r="B27" s="64" t="s">
        <v>81</v>
      </c>
      <c r="C27" s="62" t="s">
        <v>103</v>
      </c>
    </row>
    <row r="28" spans="2:3" x14ac:dyDescent="0.2">
      <c r="B28" s="63" t="s">
        <v>105</v>
      </c>
      <c r="C28" s="62" t="s">
        <v>104</v>
      </c>
    </row>
    <row r="29" spans="2:3" x14ac:dyDescent="0.2">
      <c r="B29" s="63" t="s">
        <v>106</v>
      </c>
      <c r="C29" s="62" t="s">
        <v>109</v>
      </c>
    </row>
    <row r="30" spans="2:3" x14ac:dyDescent="0.2">
      <c r="B30" s="63" t="s">
        <v>107</v>
      </c>
      <c r="C30" s="62" t="s">
        <v>108</v>
      </c>
    </row>
    <row r="49" spans="2:2" x14ac:dyDescent="0.2">
      <c r="B49" s="33"/>
    </row>
    <row r="70" spans="2:6" x14ac:dyDescent="0.2">
      <c r="B70" s="37" t="s">
        <v>83</v>
      </c>
    </row>
    <row r="71" spans="2:6" ht="16" x14ac:dyDescent="0.2">
      <c r="B71" s="19" t="s">
        <v>1</v>
      </c>
      <c r="C71" s="1" t="s">
        <v>63</v>
      </c>
      <c r="D71" s="19" t="s">
        <v>110</v>
      </c>
      <c r="E71" s="19" t="s">
        <v>111</v>
      </c>
      <c r="F71" s="19" t="s">
        <v>112</v>
      </c>
    </row>
    <row r="72" spans="2:6" x14ac:dyDescent="0.2">
      <c r="B72" s="3">
        <v>42614</v>
      </c>
      <c r="D72" s="38">
        <f>'5a. Premiums - projection (Exp)'!D17</f>
        <v>0</v>
      </c>
      <c r="E72">
        <f>'5b. Premiums - projection (Lin)'!D17</f>
        <v>0</v>
      </c>
      <c r="F72" s="4">
        <f>'5c. Premiums - projection (Oxb)'!D17</f>
        <v>0</v>
      </c>
    </row>
    <row r="73" spans="2:6" x14ac:dyDescent="0.2">
      <c r="B73" s="3">
        <v>42643</v>
      </c>
      <c r="C73">
        <v>1</v>
      </c>
      <c r="D73" s="38">
        <f>'5a. Premiums - projection (Exp)'!K18</f>
        <v>39092.450413223145</v>
      </c>
      <c r="E73" s="4">
        <f>'5b. Premiums - projection (Lin)'!K18</f>
        <v>39092.450413223145</v>
      </c>
      <c r="F73" s="4">
        <f>'5c. Premiums - projection (Oxb)'!K18</f>
        <v>39092.450413223145</v>
      </c>
    </row>
    <row r="74" spans="2:6" x14ac:dyDescent="0.2">
      <c r="B74" s="3">
        <v>42674</v>
      </c>
      <c r="C74">
        <f t="shared" ref="C74:C88" si="0">C73+1</f>
        <v>2</v>
      </c>
      <c r="D74" s="38">
        <f>'5a. Premiums - projection (Exp)'!K19</f>
        <v>76401.21487603306</v>
      </c>
      <c r="E74" s="4">
        <f>'5b. Premiums - projection (Lin)'!K19</f>
        <v>76401.21487603306</v>
      </c>
      <c r="F74" s="4">
        <f>'5c. Premiums - projection (Oxb)'!K19</f>
        <v>76401.21487603306</v>
      </c>
    </row>
    <row r="75" spans="2:6" x14ac:dyDescent="0.2">
      <c r="B75" s="3">
        <v>42704</v>
      </c>
      <c r="C75">
        <f t="shared" si="0"/>
        <v>3</v>
      </c>
      <c r="D75" s="38">
        <f>'5a. Premiums - projection (Exp)'!K20</f>
        <v>106426.59504132232</v>
      </c>
      <c r="E75" s="4">
        <f>'5b. Premiums - projection (Lin)'!K20</f>
        <v>106426.59504132232</v>
      </c>
      <c r="F75" s="4">
        <f>'5c. Premiums - projection (Oxb)'!K20</f>
        <v>106426.59504132232</v>
      </c>
    </row>
    <row r="76" spans="2:6" x14ac:dyDescent="0.2">
      <c r="B76" s="3">
        <v>42735</v>
      </c>
      <c r="C76">
        <f t="shared" si="0"/>
        <v>4</v>
      </c>
      <c r="D76" s="38">
        <f>'5a. Premiums - projection (Exp)'!K21</f>
        <v>179855</v>
      </c>
      <c r="E76" s="4">
        <f>'5b. Premiums - projection (Lin)'!K21</f>
        <v>179855</v>
      </c>
      <c r="F76" s="4">
        <f>'5c. Premiums - projection (Oxb)'!K21</f>
        <v>179855</v>
      </c>
    </row>
    <row r="77" spans="2:6" x14ac:dyDescent="0.2">
      <c r="B77" s="3">
        <v>42766</v>
      </c>
      <c r="C77">
        <f t="shared" si="0"/>
        <v>5</v>
      </c>
      <c r="D77" s="38">
        <f>'5a. Premiums - projection (Exp)'!K22</f>
        <v>356854.14121154835</v>
      </c>
      <c r="E77" s="4">
        <f>'5b. Premiums - projection (Lin)'!K22</f>
        <v>356854.14121154835</v>
      </c>
      <c r="F77" s="4">
        <f>'5c. Premiums - projection (Oxb)'!K22</f>
        <v>356854.14121154835</v>
      </c>
    </row>
    <row r="78" spans="2:6" x14ac:dyDescent="0.2">
      <c r="B78" s="3">
        <v>42794</v>
      </c>
      <c r="C78">
        <f t="shared" si="0"/>
        <v>6</v>
      </c>
      <c r="D78" s="38">
        <f>'5a. Premiums - projection (Exp)'!K23</f>
        <v>705344.17213688709</v>
      </c>
      <c r="E78" s="4">
        <f>'5b. Premiums - projection (Lin)'!K23</f>
        <v>705344.17213688709</v>
      </c>
      <c r="F78" s="4">
        <f>'5c. Premiums - projection (Oxb)'!K23</f>
        <v>705344.17213688709</v>
      </c>
    </row>
    <row r="79" spans="2:6" x14ac:dyDescent="0.2">
      <c r="B79" s="3">
        <v>42825</v>
      </c>
      <c r="C79">
        <f t="shared" si="0"/>
        <v>7</v>
      </c>
      <c r="D79" s="38">
        <f>'5a. Premiums - projection (Exp)'!K24</f>
        <v>1096751.0638503961</v>
      </c>
      <c r="E79" s="4">
        <f>'5b. Premiums - projection (Lin)'!K24</f>
        <v>1096751.0638503961</v>
      </c>
      <c r="F79" s="4">
        <f>'5c. Premiums - projection (Oxb)'!K24</f>
        <v>1096751.0638503961</v>
      </c>
    </row>
    <row r="80" spans="2:6" x14ac:dyDescent="0.2">
      <c r="B80" s="3">
        <v>42855</v>
      </c>
      <c r="C80">
        <f t="shared" si="0"/>
        <v>8</v>
      </c>
      <c r="D80" s="38">
        <f>'5a. Premiums - projection (Exp)'!K25</f>
        <v>1883503.5787717353</v>
      </c>
      <c r="E80" s="4">
        <f>'5b. Premiums - projection (Lin)'!K25</f>
        <v>1883503.5787717353</v>
      </c>
      <c r="F80" s="4">
        <f>'5c. Premiums - projection (Oxb)'!K25</f>
        <v>1883503.5787717353</v>
      </c>
    </row>
    <row r="81" spans="2:6" x14ac:dyDescent="0.2">
      <c r="B81" s="3">
        <v>42886</v>
      </c>
      <c r="C81">
        <f t="shared" si="0"/>
        <v>9</v>
      </c>
      <c r="D81" s="38">
        <f>'5a. Premiums - projection (Exp)'!K26</f>
        <v>2942582.9452737113</v>
      </c>
      <c r="E81" s="4">
        <f>'5b. Premiums - projection (Lin)'!K26</f>
        <v>2942582.9452737113</v>
      </c>
      <c r="F81" s="4">
        <f>'5c. Premiums - projection (Oxb)'!K26</f>
        <v>2942582.9452737113</v>
      </c>
    </row>
    <row r="82" spans="2:6" x14ac:dyDescent="0.2">
      <c r="B82" s="3">
        <f>EOMONTH(B81,1)</f>
        <v>42916</v>
      </c>
      <c r="C82">
        <f t="shared" si="0"/>
        <v>10</v>
      </c>
      <c r="D82" s="38">
        <f>'5a. Premiums - projection (Exp)'!K27</f>
        <v>4245039.3177148476</v>
      </c>
      <c r="E82" s="4">
        <f>'5b. Premiums - projection (Lin)'!K27</f>
        <v>3878700.4955899171</v>
      </c>
      <c r="F82" s="4">
        <f>'5c. Premiums - projection (Oxb)'!K27</f>
        <v>4200000</v>
      </c>
    </row>
    <row r="83" spans="2:6" x14ac:dyDescent="0.2">
      <c r="B83" s="3">
        <f t="shared" ref="B83:B88" si="1">EOMONTH(B82,1)</f>
        <v>42947</v>
      </c>
      <c r="C83">
        <f t="shared" si="0"/>
        <v>11</v>
      </c>
      <c r="D83" s="38">
        <f>'5a. Premiums - projection (Exp)'!K28</f>
        <v>6978577.7665482061</v>
      </c>
      <c r="E83" s="4">
        <f>'5b. Premiums - projection (Lin)'!K28</f>
        <v>4864768.9823854454</v>
      </c>
      <c r="F83" s="4">
        <f>'5c. Premiums - projection (Oxb)'!K28</f>
        <v>6000000</v>
      </c>
    </row>
    <row r="84" spans="2:6" x14ac:dyDescent="0.2">
      <c r="B84" s="3">
        <f t="shared" si="1"/>
        <v>42978</v>
      </c>
      <c r="C84">
        <f t="shared" si="0"/>
        <v>12</v>
      </c>
      <c r="D84" s="38">
        <f>'5a. Premiums - projection (Exp)'!K29</f>
        <v>11561173.602899117</v>
      </c>
      <c r="E84" s="4">
        <f>'5b. Premiums - projection (Lin)'!K29</f>
        <v>6018985.0660537574</v>
      </c>
      <c r="F84" s="4">
        <f>'5c. Premiums - projection (Oxb)'!K29</f>
        <v>8400000</v>
      </c>
    </row>
    <row r="85" spans="2:6" x14ac:dyDescent="0.2">
      <c r="B85" s="3">
        <f t="shared" si="1"/>
        <v>43008</v>
      </c>
      <c r="C85">
        <f t="shared" si="0"/>
        <v>13</v>
      </c>
      <c r="D85" s="38">
        <f>'5a. Premiums - projection (Exp)'!K30</f>
        <v>19201325.137079474</v>
      </c>
      <c r="E85" s="4">
        <f>'5b. Premiums - projection (Lin)'!K30</f>
        <v>7459134.2881695544</v>
      </c>
      <c r="F85" s="4">
        <f>'5c. Premiums - projection (Oxb)'!K30</f>
        <v>11800000</v>
      </c>
    </row>
    <row r="86" spans="2:6" x14ac:dyDescent="0.2">
      <c r="B86" s="3">
        <f t="shared" si="1"/>
        <v>43039</v>
      </c>
      <c r="C86">
        <f t="shared" si="0"/>
        <v>14</v>
      </c>
      <c r="D86" s="38">
        <f>'5a. Premiums - projection (Exp)'!K31</f>
        <v>31589365.200833149</v>
      </c>
      <c r="E86" s="4">
        <f>'5b. Premiums - projection (Lin)'!K31</f>
        <v>9077092.39939899</v>
      </c>
      <c r="F86" s="4">
        <f>'5c. Premiums - projection (Oxb)'!K31</f>
        <v>16100000</v>
      </c>
    </row>
    <row r="87" spans="2:6" x14ac:dyDescent="0.2">
      <c r="B87" s="3">
        <f t="shared" si="1"/>
        <v>43069</v>
      </c>
      <c r="C87">
        <f t="shared" si="0"/>
        <v>15</v>
      </c>
      <c r="D87" s="38">
        <f>'5a. Premiums - projection (Exp)'!K32</f>
        <v>51831957.325421438</v>
      </c>
      <c r="E87" s="4">
        <f>'5b. Premiums - projection (Lin)'!K32</f>
        <v>11014078.71398608</v>
      </c>
      <c r="F87" s="4">
        <f>'5c. Premiums - projection (Oxb)'!K32</f>
        <v>21700000</v>
      </c>
    </row>
    <row r="88" spans="2:6" x14ac:dyDescent="0.2">
      <c r="B88" s="3">
        <f t="shared" si="1"/>
        <v>43100</v>
      </c>
      <c r="C88">
        <f t="shared" si="0"/>
        <v>16</v>
      </c>
      <c r="D88" s="38">
        <f>'5a. Premiums - projection (Exp)'!K33</f>
        <v>84955261.717946798</v>
      </c>
      <c r="E88" s="4">
        <f>'5b. Premiums - projection (Lin)'!K33</f>
        <v>13406584.679759096</v>
      </c>
      <c r="F88" s="4">
        <f>'5c. Premiums - projection (Oxb)'!K33</f>
        <v>28800000</v>
      </c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6:K36"/>
  <sheetViews>
    <sheetView zoomScale="80" zoomScaleNormal="80" workbookViewId="0">
      <selection activeCell="D6" sqref="D6"/>
    </sheetView>
  </sheetViews>
  <sheetFormatPr baseColWidth="10" defaultColWidth="8.83203125" defaultRowHeight="15" x14ac:dyDescent="0.2"/>
  <cols>
    <col min="1" max="1" width="2.33203125" customWidth="1"/>
    <col min="2" max="2" width="22.5" customWidth="1"/>
    <col min="3" max="7" width="15.83203125" customWidth="1"/>
    <col min="8" max="8" width="3.33203125" customWidth="1"/>
    <col min="9" max="11" width="15.83203125" customWidth="1"/>
  </cols>
  <sheetData>
    <row r="6" spans="1:11" ht="19" x14ac:dyDescent="0.25">
      <c r="A6" s="6"/>
      <c r="B6" s="14" t="s">
        <v>89</v>
      </c>
      <c r="C6" s="6"/>
    </row>
    <row r="7" spans="1:11" x14ac:dyDescent="0.2">
      <c r="A7" s="6"/>
      <c r="B7" s="73" t="s">
        <v>15</v>
      </c>
      <c r="C7" s="73"/>
    </row>
    <row r="8" spans="1:11" x14ac:dyDescent="0.2">
      <c r="A8" s="6"/>
      <c r="B8" s="74" t="s">
        <v>40</v>
      </c>
      <c r="C8" s="74"/>
    </row>
    <row r="9" spans="1:11" x14ac:dyDescent="0.2">
      <c r="A9" s="6"/>
      <c r="B9" s="72" t="s">
        <v>65</v>
      </c>
      <c r="C9" s="72"/>
    </row>
    <row r="10" spans="1:11" x14ac:dyDescent="0.2">
      <c r="A10" s="6"/>
      <c r="B10" s="67"/>
      <c r="C10" s="67"/>
    </row>
    <row r="11" spans="1:11" ht="20" thickBot="1" x14ac:dyDescent="0.3">
      <c r="A11" s="6"/>
      <c r="B11" s="54" t="s">
        <v>92</v>
      </c>
      <c r="C11" s="54"/>
    </row>
    <row r="12" spans="1:11" ht="19" x14ac:dyDescent="0.25">
      <c r="A12" s="6"/>
      <c r="B12" s="14" t="s">
        <v>93</v>
      </c>
      <c r="C12" s="55">
        <f>D33</f>
        <v>140314.2145524653</v>
      </c>
    </row>
    <row r="13" spans="1:11" ht="19" x14ac:dyDescent="0.25">
      <c r="A13" s="6"/>
      <c r="B13" s="14" t="s">
        <v>94</v>
      </c>
      <c r="C13" s="56">
        <f>K33</f>
        <v>28800000</v>
      </c>
    </row>
    <row r="14" spans="1:11" x14ac:dyDescent="0.2">
      <c r="A14" s="6"/>
      <c r="B14" s="67"/>
      <c r="C14" s="67"/>
      <c r="H14" s="32" t="s">
        <v>71</v>
      </c>
      <c r="I14" s="36">
        <f>AVERAGE(I19:I26)</f>
        <v>0.6488823938129431</v>
      </c>
    </row>
    <row r="16" spans="1:11" ht="33" thickBot="1" x14ac:dyDescent="0.25">
      <c r="B16" s="57" t="s">
        <v>1</v>
      </c>
      <c r="C16" s="58" t="s">
        <v>63</v>
      </c>
      <c r="D16" s="57" t="s">
        <v>53</v>
      </c>
      <c r="E16" s="57" t="s">
        <v>68</v>
      </c>
      <c r="F16" s="57" t="s">
        <v>69</v>
      </c>
      <c r="G16" s="57" t="s">
        <v>70</v>
      </c>
      <c r="H16" s="57"/>
      <c r="I16" s="57" t="s">
        <v>67</v>
      </c>
      <c r="J16" s="57"/>
      <c r="K16" s="57" t="s">
        <v>54</v>
      </c>
    </row>
    <row r="17" spans="2:11" x14ac:dyDescent="0.2">
      <c r="B17" s="3">
        <v>42614</v>
      </c>
      <c r="D17" s="9">
        <f>'2a. Premiums - stock'!C11</f>
        <v>0</v>
      </c>
      <c r="E17" s="5">
        <f t="shared" ref="E17:E25" si="0">D17-SUM(F17:G17)</f>
        <v>0</v>
      </c>
      <c r="F17" s="9"/>
      <c r="G17" s="9"/>
      <c r="H17" s="9"/>
      <c r="I17" s="9"/>
      <c r="J17" s="9"/>
      <c r="K17" s="9">
        <f>'2a. Premiums - stock'!D11</f>
        <v>0</v>
      </c>
    </row>
    <row r="18" spans="2:11" x14ac:dyDescent="0.2">
      <c r="B18" s="3">
        <v>42643</v>
      </c>
      <c r="C18">
        <v>1</v>
      </c>
      <c r="D18" s="9">
        <f>'2a. Premiums - stock'!C12</f>
        <v>263</v>
      </c>
      <c r="E18" s="5">
        <f t="shared" si="0"/>
        <v>263</v>
      </c>
      <c r="F18" s="9"/>
      <c r="G18" s="9"/>
      <c r="H18" s="9"/>
      <c r="I18" s="29" t="s">
        <v>66</v>
      </c>
      <c r="J18" s="9"/>
      <c r="K18" s="9">
        <f>'2a. Premiums - stock'!D12</f>
        <v>39092.450413223145</v>
      </c>
    </row>
    <row r="19" spans="2:11" x14ac:dyDescent="0.2">
      <c r="B19" s="3">
        <v>42674</v>
      </c>
      <c r="C19">
        <f t="shared" ref="C19:C33" si="1">C18+1</f>
        <v>2</v>
      </c>
      <c r="D19" s="9">
        <f>'2a. Premiums - stock'!C13</f>
        <v>514</v>
      </c>
      <c r="E19" s="5">
        <f t="shared" si="0"/>
        <v>514</v>
      </c>
      <c r="F19" s="9"/>
      <c r="G19" s="9"/>
      <c r="H19" s="9"/>
      <c r="I19" s="28">
        <f>(E19-E18)/E18</f>
        <v>0.95437262357414454</v>
      </c>
      <c r="J19" s="9"/>
      <c r="K19" s="9">
        <f>'2a. Premiums - stock'!D13</f>
        <v>76401.21487603306</v>
      </c>
    </row>
    <row r="20" spans="2:11" x14ac:dyDescent="0.2">
      <c r="B20" s="3">
        <v>42704</v>
      </c>
      <c r="C20">
        <f t="shared" si="1"/>
        <v>3</v>
      </c>
      <c r="D20" s="9">
        <f>'2a. Premiums - stock'!C14</f>
        <v>716</v>
      </c>
      <c r="E20" s="5">
        <f t="shared" si="0"/>
        <v>716</v>
      </c>
      <c r="F20" s="9"/>
      <c r="G20" s="9"/>
      <c r="H20" s="9"/>
      <c r="I20" s="28">
        <f t="shared" ref="I20:I26" si="2">(E20-E19)/E19</f>
        <v>0.39299610894941633</v>
      </c>
      <c r="J20" s="9"/>
      <c r="K20" s="9">
        <f>'2a. Premiums - stock'!D14</f>
        <v>106426.59504132232</v>
      </c>
    </row>
    <row r="21" spans="2:11" x14ac:dyDescent="0.2">
      <c r="B21" s="3">
        <v>42735</v>
      </c>
      <c r="C21">
        <f t="shared" si="1"/>
        <v>4</v>
      </c>
      <c r="D21" s="9">
        <f>'2a. Premiums - stock'!C15</f>
        <v>1210</v>
      </c>
      <c r="E21" s="5">
        <f t="shared" si="0"/>
        <v>1210</v>
      </c>
      <c r="F21" s="9"/>
      <c r="G21" s="9"/>
      <c r="H21" s="9"/>
      <c r="I21" s="28">
        <f t="shared" si="2"/>
        <v>0.68994413407821231</v>
      </c>
      <c r="J21" s="9"/>
      <c r="K21" s="9">
        <f>'2a. Premiums - stock'!D15</f>
        <v>179855</v>
      </c>
    </row>
    <row r="22" spans="2:11" x14ac:dyDescent="0.2">
      <c r="B22" s="3">
        <v>42766</v>
      </c>
      <c r="C22">
        <f t="shared" si="1"/>
        <v>5</v>
      </c>
      <c r="D22" s="9">
        <f>'2a. Premiums - stock'!C16</f>
        <v>2230</v>
      </c>
      <c r="E22" s="5">
        <f t="shared" si="0"/>
        <v>2230</v>
      </c>
      <c r="F22" s="9"/>
      <c r="G22" s="9"/>
      <c r="H22" s="9"/>
      <c r="I22" s="28">
        <f t="shared" si="2"/>
        <v>0.84297520661157022</v>
      </c>
      <c r="J22" s="9"/>
      <c r="K22" s="9">
        <f>'2a. Premiums - stock'!D16</f>
        <v>356854.14121154835</v>
      </c>
    </row>
    <row r="23" spans="2:11" x14ac:dyDescent="0.2">
      <c r="B23" s="3">
        <v>42794</v>
      </c>
      <c r="C23">
        <f t="shared" si="1"/>
        <v>6</v>
      </c>
      <c r="D23" s="9">
        <f>'2a. Premiums - stock'!C17</f>
        <v>4115</v>
      </c>
      <c r="E23" s="5">
        <f t="shared" si="0"/>
        <v>4115</v>
      </c>
      <c r="F23" s="9"/>
      <c r="G23" s="9"/>
      <c r="H23" s="9"/>
      <c r="I23" s="28">
        <f t="shared" si="2"/>
        <v>0.8452914798206278</v>
      </c>
      <c r="J23" s="9"/>
      <c r="K23" s="9">
        <f>'2a. Premiums - stock'!D17</f>
        <v>705344.17213688709</v>
      </c>
    </row>
    <row r="24" spans="2:11" x14ac:dyDescent="0.2">
      <c r="B24" s="3">
        <v>42825</v>
      </c>
      <c r="C24">
        <f t="shared" si="1"/>
        <v>7</v>
      </c>
      <c r="D24" s="9">
        <f>'2a. Premiums - stock'!C18</f>
        <v>6000</v>
      </c>
      <c r="E24" s="5">
        <f t="shared" si="0"/>
        <v>6000</v>
      </c>
      <c r="F24" s="9"/>
      <c r="G24" s="9"/>
      <c r="H24" s="9"/>
      <c r="I24" s="28">
        <f t="shared" si="2"/>
        <v>0.45808019441069259</v>
      </c>
      <c r="J24" s="9"/>
      <c r="K24" s="9">
        <f>'2a. Premiums - stock'!D18</f>
        <v>1096751.0638503961</v>
      </c>
    </row>
    <row r="25" spans="2:11" x14ac:dyDescent="0.2">
      <c r="B25" s="3">
        <v>42855</v>
      </c>
      <c r="C25">
        <f t="shared" si="1"/>
        <v>8</v>
      </c>
      <c r="D25" s="9">
        <f>'2a. Premiums - stock'!C19</f>
        <v>9700</v>
      </c>
      <c r="E25" s="5">
        <f t="shared" si="0"/>
        <v>9437</v>
      </c>
      <c r="F25" s="5">
        <v>263</v>
      </c>
      <c r="G25" s="9"/>
      <c r="H25" s="9"/>
      <c r="I25" s="28">
        <f t="shared" si="2"/>
        <v>0.57283333333333331</v>
      </c>
      <c r="J25" s="9"/>
      <c r="K25" s="9">
        <f>'2a. Premiums - stock'!D19</f>
        <v>1883503.5787717353</v>
      </c>
    </row>
    <row r="26" spans="2:11" x14ac:dyDescent="0.2">
      <c r="B26" s="3">
        <v>42886</v>
      </c>
      <c r="C26">
        <f t="shared" si="1"/>
        <v>9</v>
      </c>
      <c r="D26" s="9">
        <f>'2a. Premiums - stock'!C20</f>
        <v>14315</v>
      </c>
      <c r="E26" s="5">
        <f>D26-SUM(F26:G26)</f>
        <v>13538</v>
      </c>
      <c r="F26" s="5">
        <f>E19</f>
        <v>514</v>
      </c>
      <c r="G26" s="5">
        <v>263</v>
      </c>
      <c r="H26" s="9"/>
      <c r="I26" s="28">
        <f t="shared" si="2"/>
        <v>0.4345660697255484</v>
      </c>
      <c r="J26" s="9"/>
      <c r="K26" s="9">
        <f>'2a. Premiums - stock'!D20</f>
        <v>2942582.9452737113</v>
      </c>
    </row>
    <row r="27" spans="2:11" x14ac:dyDescent="0.2">
      <c r="B27" s="3">
        <f>EOMONTH(B26,1)</f>
        <v>42916</v>
      </c>
      <c r="C27">
        <f t="shared" si="1"/>
        <v>10</v>
      </c>
      <c r="D27" s="31">
        <f>SUM(E27:G27)</f>
        <v>20651.155451944476</v>
      </c>
      <c r="E27" s="31">
        <f>E26*(1+I26)</f>
        <v>19421.155451944476</v>
      </c>
      <c r="F27" s="31">
        <f t="shared" ref="F27:F33" si="3">E20</f>
        <v>716</v>
      </c>
      <c r="G27" s="31">
        <f>E19</f>
        <v>514</v>
      </c>
      <c r="H27" s="9"/>
      <c r="I27" s="30">
        <v>0.4</v>
      </c>
      <c r="J27" s="9"/>
      <c r="K27" s="53">
        <f>ROUND(D27*'2c. Average Premium'!$D$41,-5)</f>
        <v>4200000</v>
      </c>
    </row>
    <row r="28" spans="2:11" x14ac:dyDescent="0.2">
      <c r="B28" s="3">
        <f t="shared" ref="B28:B33" si="4">EOMONTH(B27,1)</f>
        <v>42947</v>
      </c>
      <c r="C28">
        <f t="shared" si="1"/>
        <v>11</v>
      </c>
      <c r="D28" s="31">
        <f t="shared" ref="D28:D33" si="5">SUM(E28:G28)</f>
        <v>29115.617632722264</v>
      </c>
      <c r="E28" s="31">
        <f t="shared" ref="E28:E33" si="6">E27*(1+I27)</f>
        <v>27189.617632722264</v>
      </c>
      <c r="F28" s="31">
        <f t="shared" si="3"/>
        <v>1210</v>
      </c>
      <c r="G28" s="31">
        <f t="shared" ref="G28:G33" si="7">E20</f>
        <v>716</v>
      </c>
      <c r="H28" s="9"/>
      <c r="I28" s="30">
        <v>0.38</v>
      </c>
      <c r="J28" s="9"/>
      <c r="K28" s="53">
        <f>ROUND(D28*'2c. Average Premium'!$D$41,-5)</f>
        <v>6000000</v>
      </c>
    </row>
    <row r="29" spans="2:11" x14ac:dyDescent="0.2">
      <c r="B29" s="3">
        <f t="shared" si="4"/>
        <v>42978</v>
      </c>
      <c r="C29">
        <f t="shared" si="1"/>
        <v>12</v>
      </c>
      <c r="D29" s="31">
        <f t="shared" si="5"/>
        <v>40961.672333156719</v>
      </c>
      <c r="E29" s="31">
        <f t="shared" si="6"/>
        <v>37521.672333156719</v>
      </c>
      <c r="F29" s="31">
        <f t="shared" si="3"/>
        <v>2230</v>
      </c>
      <c r="G29" s="31">
        <f t="shared" si="7"/>
        <v>1210</v>
      </c>
      <c r="H29" s="9"/>
      <c r="I29" s="30">
        <v>0.36</v>
      </c>
      <c r="J29" s="9"/>
      <c r="K29" s="53">
        <f>ROUND(D29*'2c. Average Premium'!$D$41,-5)</f>
        <v>8400000</v>
      </c>
    </row>
    <row r="30" spans="2:11" x14ac:dyDescent="0.2">
      <c r="B30" s="3">
        <f t="shared" si="4"/>
        <v>43008</v>
      </c>
      <c r="C30">
        <f t="shared" si="1"/>
        <v>13</v>
      </c>
      <c r="D30" s="31">
        <f t="shared" si="5"/>
        <v>57374.474373093137</v>
      </c>
      <c r="E30" s="31">
        <f t="shared" si="6"/>
        <v>51029.474373093137</v>
      </c>
      <c r="F30" s="31">
        <f t="shared" si="3"/>
        <v>4115</v>
      </c>
      <c r="G30" s="31">
        <f t="shared" si="7"/>
        <v>2230</v>
      </c>
      <c r="H30" s="9"/>
      <c r="I30" s="30">
        <v>0.34</v>
      </c>
      <c r="J30" s="9"/>
      <c r="K30" s="53">
        <f>ROUND(D30*'2c. Average Premium'!$D$41,-5)</f>
        <v>11800000</v>
      </c>
    </row>
    <row r="31" spans="2:11" x14ac:dyDescent="0.2">
      <c r="B31" s="3">
        <f t="shared" si="4"/>
        <v>43039</v>
      </c>
      <c r="C31">
        <f t="shared" si="1"/>
        <v>14</v>
      </c>
      <c r="D31" s="31">
        <f t="shared" si="5"/>
        <v>78494.495659944805</v>
      </c>
      <c r="E31" s="31">
        <f t="shared" si="6"/>
        <v>68379.495659944805</v>
      </c>
      <c r="F31" s="31">
        <f t="shared" si="3"/>
        <v>6000</v>
      </c>
      <c r="G31" s="31">
        <f t="shared" si="7"/>
        <v>4115</v>
      </c>
      <c r="H31" s="9"/>
      <c r="I31" s="30">
        <v>0.32</v>
      </c>
      <c r="J31" s="9"/>
      <c r="K31" s="53">
        <f>ROUND(D31*'2c. Average Premium'!$D$41,-5)</f>
        <v>16100000</v>
      </c>
    </row>
    <row r="32" spans="2:11" x14ac:dyDescent="0.2">
      <c r="B32" s="3">
        <f t="shared" si="4"/>
        <v>43069</v>
      </c>
      <c r="C32">
        <f t="shared" si="1"/>
        <v>15</v>
      </c>
      <c r="D32" s="31">
        <f t="shared" si="5"/>
        <v>105697.93427112715</v>
      </c>
      <c r="E32" s="31">
        <f t="shared" si="6"/>
        <v>90260.934271127146</v>
      </c>
      <c r="F32" s="31">
        <f t="shared" si="3"/>
        <v>9437</v>
      </c>
      <c r="G32" s="31">
        <f t="shared" si="7"/>
        <v>6000</v>
      </c>
      <c r="H32" s="9"/>
      <c r="I32" s="30">
        <v>0.3</v>
      </c>
      <c r="J32" s="9"/>
      <c r="K32" s="53">
        <f>ROUND(D32*'2c. Average Premium'!$D$41,-5)</f>
        <v>21700000</v>
      </c>
    </row>
    <row r="33" spans="2:11" x14ac:dyDescent="0.2">
      <c r="B33" s="3">
        <f t="shared" si="4"/>
        <v>43100</v>
      </c>
      <c r="C33">
        <f t="shared" si="1"/>
        <v>16</v>
      </c>
      <c r="D33" s="31">
        <f t="shared" si="5"/>
        <v>140314.2145524653</v>
      </c>
      <c r="E33" s="31">
        <f t="shared" si="6"/>
        <v>117339.21455246529</v>
      </c>
      <c r="F33" s="31">
        <f t="shared" si="3"/>
        <v>13538</v>
      </c>
      <c r="G33" s="31">
        <f t="shared" si="7"/>
        <v>9437</v>
      </c>
      <c r="H33" s="9"/>
      <c r="I33" s="30">
        <v>0.28000000000000003</v>
      </c>
      <c r="J33" s="9"/>
      <c r="K33" s="53">
        <f>ROUND(D33*'2c. Average Premium'!$D$41,-5)</f>
        <v>28800000</v>
      </c>
    </row>
    <row r="34" spans="2:11" x14ac:dyDescent="0.2">
      <c r="H34" s="9"/>
    </row>
    <row r="35" spans="2:11" x14ac:dyDescent="0.2">
      <c r="H35" s="9"/>
    </row>
    <row r="36" spans="2:11" x14ac:dyDescent="0.2">
      <c r="B36" s="33"/>
    </row>
  </sheetData>
  <mergeCells count="3">
    <mergeCell ref="B7:C7"/>
    <mergeCell ref="B8:C8"/>
    <mergeCell ref="B9:C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6:H23"/>
  <sheetViews>
    <sheetView zoomScale="80" zoomScaleNormal="80" workbookViewId="0">
      <selection activeCell="D6" sqref="D6"/>
    </sheetView>
  </sheetViews>
  <sheetFormatPr baseColWidth="10" defaultColWidth="8.83203125" defaultRowHeight="15" x14ac:dyDescent="0.2"/>
  <cols>
    <col min="1" max="1" width="2.33203125" customWidth="1"/>
    <col min="2" max="3" width="17" customWidth="1"/>
    <col min="4" max="5" width="11.83203125" customWidth="1"/>
    <col min="6" max="6" width="1.5" customWidth="1"/>
    <col min="7" max="7" width="42.6640625" bestFit="1" customWidth="1"/>
    <col min="8" max="8" width="22.6640625" customWidth="1"/>
  </cols>
  <sheetData>
    <row r="6" spans="2:8" ht="19" x14ac:dyDescent="0.25">
      <c r="B6" s="14" t="s">
        <v>14</v>
      </c>
    </row>
    <row r="7" spans="2:8" x14ac:dyDescent="0.2">
      <c r="B7" s="41" t="s">
        <v>15</v>
      </c>
      <c r="C7" s="41"/>
    </row>
    <row r="8" spans="2:8" x14ac:dyDescent="0.2">
      <c r="B8" s="70" t="s">
        <v>40</v>
      </c>
      <c r="C8" s="70"/>
    </row>
    <row r="10" spans="2:8" x14ac:dyDescent="0.2">
      <c r="B10" s="1" t="s">
        <v>1</v>
      </c>
      <c r="C10" s="1" t="s">
        <v>0</v>
      </c>
      <c r="D10" t="s">
        <v>6</v>
      </c>
      <c r="E10" t="s">
        <v>7</v>
      </c>
      <c r="G10" s="1" t="s">
        <v>2</v>
      </c>
      <c r="H10" s="1" t="s">
        <v>13</v>
      </c>
    </row>
    <row r="11" spans="2:8" x14ac:dyDescent="0.2">
      <c r="B11" s="3">
        <v>42614</v>
      </c>
      <c r="C11" s="43">
        <v>0</v>
      </c>
    </row>
    <row r="12" spans="2:8" x14ac:dyDescent="0.2">
      <c r="B12" s="3">
        <v>42643</v>
      </c>
      <c r="C12" s="43">
        <v>263</v>
      </c>
      <c r="G12" t="s">
        <v>3</v>
      </c>
    </row>
    <row r="13" spans="2:8" x14ac:dyDescent="0.2">
      <c r="B13" s="3">
        <v>42674</v>
      </c>
      <c r="C13" s="43">
        <v>514</v>
      </c>
      <c r="G13" t="s">
        <v>3</v>
      </c>
    </row>
    <row r="14" spans="2:8" x14ac:dyDescent="0.2">
      <c r="B14" s="3">
        <v>42704</v>
      </c>
      <c r="C14" s="43">
        <v>716</v>
      </c>
      <c r="G14" t="s">
        <v>3</v>
      </c>
    </row>
    <row r="15" spans="2:8" x14ac:dyDescent="0.2">
      <c r="B15" s="3">
        <v>42735</v>
      </c>
      <c r="C15" s="43">
        <v>1210</v>
      </c>
      <c r="D15" s="47">
        <f>'2c. Average Premium'!D18</f>
        <v>1089</v>
      </c>
      <c r="E15" s="47">
        <f>'2c. Average Premium'!D19</f>
        <v>121</v>
      </c>
      <c r="G15" t="s">
        <v>3</v>
      </c>
    </row>
    <row r="16" spans="2:8" x14ac:dyDescent="0.2">
      <c r="B16" s="3">
        <v>42766</v>
      </c>
      <c r="C16" s="43">
        <v>2230</v>
      </c>
      <c r="G16" t="s">
        <v>3</v>
      </c>
    </row>
    <row r="17" spans="2:8" x14ac:dyDescent="0.2">
      <c r="B17" s="3">
        <v>42794</v>
      </c>
      <c r="C17" s="47">
        <f>AVERAGE(C16,C18)</f>
        <v>4115</v>
      </c>
    </row>
    <row r="18" spans="2:8" x14ac:dyDescent="0.2">
      <c r="B18" s="3">
        <v>42825</v>
      </c>
      <c r="C18" s="43">
        <v>6000</v>
      </c>
      <c r="G18" t="s">
        <v>4</v>
      </c>
    </row>
    <row r="19" spans="2:8" x14ac:dyDescent="0.2">
      <c r="B19" s="3">
        <v>42855</v>
      </c>
      <c r="C19" s="47">
        <v>9700</v>
      </c>
      <c r="H19" t="s">
        <v>20</v>
      </c>
    </row>
    <row r="20" spans="2:8" x14ac:dyDescent="0.2">
      <c r="B20" s="3">
        <v>42886</v>
      </c>
      <c r="C20" s="43">
        <v>14315</v>
      </c>
      <c r="G20" t="s">
        <v>4</v>
      </c>
    </row>
    <row r="22" spans="2:8" x14ac:dyDescent="0.2">
      <c r="B22" t="s">
        <v>64</v>
      </c>
    </row>
    <row r="23" spans="2:8" x14ac:dyDescent="0.2">
      <c r="B23" s="3">
        <f>B20-20</f>
        <v>42866</v>
      </c>
      <c r="C23" s="43">
        <v>10000</v>
      </c>
      <c r="G23" t="s">
        <v>5</v>
      </c>
    </row>
  </sheetData>
  <mergeCells count="1">
    <mergeCell ref="B8:C8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6:F24"/>
  <sheetViews>
    <sheetView zoomScale="80" zoomScaleNormal="80" workbookViewId="0">
      <selection activeCell="D6" sqref="D6"/>
    </sheetView>
  </sheetViews>
  <sheetFormatPr baseColWidth="10" defaultColWidth="8.83203125" defaultRowHeight="15" x14ac:dyDescent="0.2"/>
  <cols>
    <col min="1" max="1" width="2.33203125" customWidth="1"/>
    <col min="2" max="4" width="17" customWidth="1"/>
    <col min="5" max="5" width="1.5" customWidth="1"/>
    <col min="6" max="6" width="49.33203125" bestFit="1" customWidth="1"/>
  </cols>
  <sheetData>
    <row r="6" spans="2:6" s="6" customFormat="1" ht="19" x14ac:dyDescent="0.25">
      <c r="B6" s="14" t="s">
        <v>51</v>
      </c>
      <c r="F6"/>
    </row>
    <row r="7" spans="2:6" s="6" customFormat="1" x14ac:dyDescent="0.2">
      <c r="B7" s="41" t="s">
        <v>15</v>
      </c>
      <c r="C7" s="41"/>
    </row>
    <row r="8" spans="2:6" s="6" customFormat="1" x14ac:dyDescent="0.2">
      <c r="B8" s="70" t="s">
        <v>40</v>
      </c>
      <c r="C8" s="70"/>
    </row>
    <row r="10" spans="2:6" ht="32" x14ac:dyDescent="0.2">
      <c r="B10" s="19" t="s">
        <v>1</v>
      </c>
      <c r="C10" s="19" t="s">
        <v>53</v>
      </c>
      <c r="D10" s="19" t="s">
        <v>54</v>
      </c>
      <c r="F10" s="1" t="s">
        <v>2</v>
      </c>
    </row>
    <row r="11" spans="2:6" x14ac:dyDescent="0.2">
      <c r="B11" s="3">
        <v>42614</v>
      </c>
      <c r="C11" s="9">
        <f>'1. Policy Count'!C11</f>
        <v>0</v>
      </c>
      <c r="D11" s="48">
        <f>C11*'2c. Average Premium'!$E$17</f>
        <v>0</v>
      </c>
      <c r="F11" t="s">
        <v>19</v>
      </c>
    </row>
    <row r="12" spans="2:6" x14ac:dyDescent="0.2">
      <c r="B12" s="3">
        <v>42643</v>
      </c>
      <c r="C12" s="9">
        <f>'1. Policy Count'!C12</f>
        <v>263</v>
      </c>
      <c r="D12" s="48">
        <f>C12*'2c. Average Premium'!$E$17</f>
        <v>39092.450413223145</v>
      </c>
      <c r="F12" t="s">
        <v>19</v>
      </c>
    </row>
    <row r="13" spans="2:6" x14ac:dyDescent="0.2">
      <c r="B13" s="3">
        <v>42674</v>
      </c>
      <c r="C13" s="9">
        <f>'1. Policy Count'!C13</f>
        <v>514</v>
      </c>
      <c r="D13" s="48">
        <f>C13*'2c. Average Premium'!$E$17</f>
        <v>76401.21487603306</v>
      </c>
      <c r="F13" t="s">
        <v>19</v>
      </c>
    </row>
    <row r="14" spans="2:6" x14ac:dyDescent="0.2">
      <c r="B14" s="3">
        <v>42704</v>
      </c>
      <c r="C14" s="9">
        <f>'1. Policy Count'!C14</f>
        <v>716</v>
      </c>
      <c r="D14" s="48">
        <f>C14*'2c. Average Premium'!$E$17</f>
        <v>106426.59504132232</v>
      </c>
      <c r="F14" t="s">
        <v>19</v>
      </c>
    </row>
    <row r="15" spans="2:6" x14ac:dyDescent="0.2">
      <c r="B15" s="3">
        <v>42735</v>
      </c>
      <c r="C15" s="9">
        <f>'1. Policy Count'!C15</f>
        <v>1210</v>
      </c>
      <c r="D15" s="44">
        <v>179855</v>
      </c>
      <c r="F15" t="s">
        <v>3</v>
      </c>
    </row>
    <row r="16" spans="2:6" x14ac:dyDescent="0.2">
      <c r="B16" s="3">
        <v>42766</v>
      </c>
      <c r="C16" s="9">
        <f>'1. Policy Count'!C16</f>
        <v>2230</v>
      </c>
      <c r="D16" s="47">
        <f>C16*'2c. Average Premium'!D37</f>
        <v>356854.14121154835</v>
      </c>
      <c r="F16" t="s">
        <v>33</v>
      </c>
    </row>
    <row r="17" spans="2:6" x14ac:dyDescent="0.2">
      <c r="B17" s="3">
        <v>42794</v>
      </c>
      <c r="C17" s="9">
        <f>'1. Policy Count'!C17</f>
        <v>4115</v>
      </c>
      <c r="D17" s="47">
        <f>C17*'2c. Average Premium'!D38</f>
        <v>705344.17213688709</v>
      </c>
      <c r="F17" t="s">
        <v>33</v>
      </c>
    </row>
    <row r="18" spans="2:6" x14ac:dyDescent="0.2">
      <c r="B18" s="3">
        <v>42825</v>
      </c>
      <c r="C18" s="9">
        <f>'1. Policy Count'!C18</f>
        <v>6000</v>
      </c>
      <c r="D18" s="47">
        <f>C18*'2c. Average Premium'!D39</f>
        <v>1096751.0638503961</v>
      </c>
      <c r="F18" t="s">
        <v>33</v>
      </c>
    </row>
    <row r="19" spans="2:6" x14ac:dyDescent="0.2">
      <c r="B19" s="3">
        <v>42855</v>
      </c>
      <c r="C19" s="9">
        <f>'1. Policy Count'!C19</f>
        <v>9700</v>
      </c>
      <c r="D19" s="47">
        <f>C19*'2c. Average Premium'!D40</f>
        <v>1883503.5787717353</v>
      </c>
      <c r="F19" t="s">
        <v>33</v>
      </c>
    </row>
    <row r="20" spans="2:6" x14ac:dyDescent="0.2">
      <c r="B20" s="3">
        <v>42886</v>
      </c>
      <c r="C20" s="9">
        <f>'1. Policy Count'!C20</f>
        <v>14315</v>
      </c>
      <c r="D20" s="47">
        <f>C20*'2c. Average Premium'!D41</f>
        <v>2942582.9452737113</v>
      </c>
      <c r="F20" t="s">
        <v>33</v>
      </c>
    </row>
    <row r="21" spans="2:6" x14ac:dyDescent="0.2">
      <c r="C21" s="2"/>
      <c r="D21" s="2"/>
    </row>
    <row r="22" spans="2:6" x14ac:dyDescent="0.2">
      <c r="C22" s="2"/>
      <c r="D22" s="2"/>
    </row>
    <row r="23" spans="2:6" x14ac:dyDescent="0.2">
      <c r="C23" s="2"/>
      <c r="D23" s="2"/>
    </row>
    <row r="24" spans="2:6" x14ac:dyDescent="0.2">
      <c r="C24" s="2"/>
      <c r="D24" s="2"/>
    </row>
  </sheetData>
  <mergeCells count="1">
    <mergeCell ref="B8:C8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6:H24"/>
  <sheetViews>
    <sheetView zoomScale="80" zoomScaleNormal="80" workbookViewId="0">
      <selection activeCell="G22" sqref="G22"/>
    </sheetView>
  </sheetViews>
  <sheetFormatPr baseColWidth="10" defaultColWidth="8.83203125" defaultRowHeight="15" x14ac:dyDescent="0.2"/>
  <cols>
    <col min="1" max="1" width="2.33203125" customWidth="1"/>
    <col min="2" max="4" width="17" customWidth="1"/>
    <col min="5" max="5" width="1.5" customWidth="1"/>
    <col min="6" max="6" width="4" customWidth="1"/>
    <col min="7" max="8" width="13.6640625" customWidth="1"/>
    <col min="9" max="9" width="10.5" bestFit="1" customWidth="1"/>
  </cols>
  <sheetData>
    <row r="6" spans="2:8" s="6" customFormat="1" ht="19" x14ac:dyDescent="0.25">
      <c r="B6" s="14" t="s">
        <v>52</v>
      </c>
      <c r="H6"/>
    </row>
    <row r="7" spans="2:8" s="6" customFormat="1" x14ac:dyDescent="0.2">
      <c r="B7" s="41" t="s">
        <v>15</v>
      </c>
      <c r="C7" s="41"/>
      <c r="H7"/>
    </row>
    <row r="8" spans="2:8" s="6" customFormat="1" x14ac:dyDescent="0.2">
      <c r="B8" s="70" t="s">
        <v>40</v>
      </c>
      <c r="C8" s="70"/>
      <c r="H8"/>
    </row>
    <row r="9" spans="2:8" x14ac:dyDescent="0.2">
      <c r="G9" s="71"/>
      <c r="H9" s="71"/>
    </row>
    <row r="10" spans="2:8" ht="48" x14ac:dyDescent="0.2">
      <c r="B10" s="19" t="s">
        <v>1</v>
      </c>
      <c r="C10" s="19" t="s">
        <v>49</v>
      </c>
      <c r="D10" s="19" t="s">
        <v>50</v>
      </c>
      <c r="G10" s="19" t="s">
        <v>47</v>
      </c>
      <c r="H10" s="19" t="s">
        <v>48</v>
      </c>
    </row>
    <row r="11" spans="2:8" x14ac:dyDescent="0.2">
      <c r="B11" s="3">
        <v>42614</v>
      </c>
      <c r="C11" s="9">
        <v>0</v>
      </c>
      <c r="D11" s="9">
        <v>0</v>
      </c>
    </row>
    <row r="12" spans="2:8" x14ac:dyDescent="0.2">
      <c r="B12" s="3">
        <v>42643</v>
      </c>
      <c r="C12" s="9">
        <f>'2a. Premiums - stock'!C12-'2a. Premiums - stock'!C11</f>
        <v>263</v>
      </c>
      <c r="D12" s="9">
        <f>'2a. Premiums - stock'!D12-'2a. Premiums - stock'!D11</f>
        <v>39092.450413223145</v>
      </c>
      <c r="F12" s="27">
        <v>4</v>
      </c>
      <c r="G12" s="9">
        <f>$D12*F12/12</f>
        <v>13030.816804407716</v>
      </c>
      <c r="H12" s="9">
        <f>$D12*MIN(5,(12-F12))/12</f>
        <v>16288.521005509645</v>
      </c>
    </row>
    <row r="13" spans="2:8" x14ac:dyDescent="0.2">
      <c r="B13" s="3">
        <v>42674</v>
      </c>
      <c r="C13" s="9">
        <f>'2a. Premiums - stock'!C13-'2a. Premiums - stock'!C12</f>
        <v>251</v>
      </c>
      <c r="D13" s="9">
        <f>'2a. Premiums - stock'!D13-'2a. Premiums - stock'!D12</f>
        <v>37308.764462809915</v>
      </c>
      <c r="F13" s="27">
        <v>3</v>
      </c>
      <c r="G13" s="9">
        <f t="shared" ref="G13:G15" si="0">$D13*F13/12</f>
        <v>9327.1911157024788</v>
      </c>
      <c r="H13" s="9">
        <f t="shared" ref="H13:H15" si="1">$D13*MIN(5,(12-F13))/12</f>
        <v>15545.318526170799</v>
      </c>
    </row>
    <row r="14" spans="2:8" x14ac:dyDescent="0.2">
      <c r="B14" s="3">
        <v>42704</v>
      </c>
      <c r="C14" s="9">
        <f>'2a. Premiums - stock'!C14-'2a. Premiums - stock'!C13</f>
        <v>202</v>
      </c>
      <c r="D14" s="9">
        <f>'2a. Premiums - stock'!D14-'2a. Premiums - stock'!D13</f>
        <v>30025.380165289258</v>
      </c>
      <c r="F14" s="27">
        <v>2</v>
      </c>
      <c r="G14" s="9">
        <f t="shared" si="0"/>
        <v>5004.2300275482094</v>
      </c>
      <c r="H14" s="9">
        <f t="shared" si="1"/>
        <v>12510.575068870525</v>
      </c>
    </row>
    <row r="15" spans="2:8" x14ac:dyDescent="0.2">
      <c r="B15" s="3">
        <v>42735</v>
      </c>
      <c r="C15" s="9">
        <f>'2a. Premiums - stock'!C15-'2a. Premiums - stock'!C14</f>
        <v>494</v>
      </c>
      <c r="D15" s="9">
        <f>'2a. Premiums - stock'!D15-'2a. Premiums - stock'!D14</f>
        <v>73428.404958677682</v>
      </c>
      <c r="F15" s="27">
        <v>1</v>
      </c>
      <c r="G15" s="9">
        <f t="shared" si="0"/>
        <v>6119.0337465564735</v>
      </c>
      <c r="H15" s="9">
        <f t="shared" si="1"/>
        <v>30595.168732782371</v>
      </c>
    </row>
    <row r="16" spans="2:8" x14ac:dyDescent="0.2">
      <c r="B16" s="3">
        <v>42766</v>
      </c>
      <c r="C16" s="9">
        <f>'2a. Premiums - stock'!C16-'2a. Premiums - stock'!C15</f>
        <v>1020</v>
      </c>
      <c r="D16" s="9">
        <f>'2a. Premiums - stock'!D16-'2a. Premiums - stock'!D15</f>
        <v>176999.14121154835</v>
      </c>
      <c r="F16" s="27">
        <v>5</v>
      </c>
      <c r="G16" s="9"/>
      <c r="H16" s="9">
        <f>D16*(F16/12)</f>
        <v>73749.642171478481</v>
      </c>
    </row>
    <row r="17" spans="2:8" x14ac:dyDescent="0.2">
      <c r="B17" s="3">
        <v>42794</v>
      </c>
      <c r="C17" s="9">
        <f>'2a. Premiums - stock'!C17-'2a. Premiums - stock'!C16</f>
        <v>1885</v>
      </c>
      <c r="D17" s="9">
        <f>'2a. Premiums - stock'!D17-'2a. Premiums - stock'!D16</f>
        <v>348490.03092533874</v>
      </c>
      <c r="F17" s="27">
        <v>4</v>
      </c>
      <c r="G17" s="9"/>
      <c r="H17" s="9">
        <f>D17*(F17/12)</f>
        <v>116163.34364177957</v>
      </c>
    </row>
    <row r="18" spans="2:8" x14ac:dyDescent="0.2">
      <c r="B18" s="3">
        <v>42825</v>
      </c>
      <c r="C18" s="9">
        <f>'2a. Premiums - stock'!C18-'2a. Premiums - stock'!C17</f>
        <v>1885</v>
      </c>
      <c r="D18" s="9">
        <f>'2a. Premiums - stock'!D18-'2a. Premiums - stock'!D17</f>
        <v>391406.89171350899</v>
      </c>
      <c r="F18" s="27">
        <v>3</v>
      </c>
      <c r="G18" s="9"/>
      <c r="H18" s="9">
        <f>D18*(F18/12)</f>
        <v>97851.722928377247</v>
      </c>
    </row>
    <row r="19" spans="2:8" x14ac:dyDescent="0.2">
      <c r="B19" s="3">
        <v>42855</v>
      </c>
      <c r="C19" s="9">
        <f>'2a. Premiums - stock'!C19-'2a. Premiums - stock'!C18</f>
        <v>3700</v>
      </c>
      <c r="D19" s="9">
        <f>'2a. Premiums - stock'!D19-'2a. Premiums - stock'!D18</f>
        <v>786752.51492133923</v>
      </c>
      <c r="F19" s="27">
        <v>2</v>
      </c>
      <c r="G19" s="9"/>
      <c r="H19" s="9">
        <f>D19*(F19/12)</f>
        <v>131125.41915355652</v>
      </c>
    </row>
    <row r="20" spans="2:8" x14ac:dyDescent="0.2">
      <c r="B20" s="3">
        <v>42886</v>
      </c>
      <c r="C20" s="9">
        <f>'2a. Premiums - stock'!C20-'2a. Premiums - stock'!C19</f>
        <v>4615</v>
      </c>
      <c r="D20" s="9">
        <f>'2a. Premiums - stock'!D20-'2a. Premiums - stock'!D19</f>
        <v>1059079.366501976</v>
      </c>
      <c r="F20" s="27">
        <v>1</v>
      </c>
      <c r="G20" s="9"/>
      <c r="H20" s="9">
        <f>D20*(F20/12)</f>
        <v>88256.613875164665</v>
      </c>
    </row>
    <row r="21" spans="2:8" x14ac:dyDescent="0.2">
      <c r="C21" s="2"/>
      <c r="D21" s="2"/>
      <c r="F21" s="27"/>
      <c r="G21" s="9"/>
      <c r="H21" s="9"/>
    </row>
    <row r="22" spans="2:8" x14ac:dyDescent="0.2">
      <c r="B22" s="21" t="s">
        <v>55</v>
      </c>
      <c r="C22" s="22"/>
      <c r="D22" s="22"/>
      <c r="E22" s="21"/>
      <c r="F22" s="21"/>
      <c r="G22" s="23">
        <f>SUM(G12:G20)</f>
        <v>33481.271694214876</v>
      </c>
      <c r="H22" s="23">
        <f>SUM(H12:H20)</f>
        <v>582086.32510368992</v>
      </c>
    </row>
    <row r="23" spans="2:8" x14ac:dyDescent="0.2">
      <c r="C23" s="2"/>
      <c r="D23" s="2"/>
    </row>
    <row r="24" spans="2:8" x14ac:dyDescent="0.2">
      <c r="C24" s="2"/>
      <c r="D24" s="2"/>
    </row>
  </sheetData>
  <mergeCells count="2">
    <mergeCell ref="B8:C8"/>
    <mergeCell ref="G9:H9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6:M42"/>
  <sheetViews>
    <sheetView zoomScale="80" zoomScaleNormal="80" workbookViewId="0">
      <selection activeCell="D6" sqref="D6"/>
    </sheetView>
  </sheetViews>
  <sheetFormatPr baseColWidth="10" defaultColWidth="9.1640625" defaultRowHeight="15" x14ac:dyDescent="0.2"/>
  <cols>
    <col min="1" max="1" width="2.33203125" style="6" customWidth="1"/>
    <col min="2" max="2" width="17" style="6" customWidth="1"/>
    <col min="3" max="5" width="15" style="6" customWidth="1"/>
    <col min="6" max="6" width="1.5" customWidth="1"/>
    <col min="7" max="7" width="38.6640625" bestFit="1" customWidth="1"/>
    <col min="8" max="12" width="9.1640625" style="6"/>
    <col min="13" max="13" width="16.5" style="6" customWidth="1"/>
    <col min="14" max="16384" width="9.1640625" style="6"/>
  </cols>
  <sheetData>
    <row r="6" spans="2:7" ht="19" x14ac:dyDescent="0.25">
      <c r="B6" s="14" t="s">
        <v>12</v>
      </c>
    </row>
    <row r="7" spans="2:7" x14ac:dyDescent="0.2">
      <c r="B7" s="41" t="s">
        <v>15</v>
      </c>
      <c r="C7" s="41"/>
      <c r="G7" s="6"/>
    </row>
    <row r="8" spans="2:7" x14ac:dyDescent="0.2">
      <c r="B8" s="70" t="s">
        <v>40</v>
      </c>
      <c r="C8" s="70"/>
      <c r="G8" s="6"/>
    </row>
    <row r="9" spans="2:7" x14ac:dyDescent="0.2">
      <c r="G9" s="1"/>
    </row>
    <row r="10" spans="2:7" x14ac:dyDescent="0.2">
      <c r="B10" s="13" t="s">
        <v>18</v>
      </c>
      <c r="G10" s="1"/>
    </row>
    <row r="11" spans="2:7" x14ac:dyDescent="0.2">
      <c r="B11" s="7"/>
      <c r="C11" s="7" t="s">
        <v>6</v>
      </c>
      <c r="D11" s="7" t="s">
        <v>7</v>
      </c>
      <c r="G11" s="1" t="s">
        <v>2</v>
      </c>
    </row>
    <row r="12" spans="2:7" x14ac:dyDescent="0.2">
      <c r="B12" s="6" t="s">
        <v>8</v>
      </c>
      <c r="C12" s="45">
        <v>0.53</v>
      </c>
      <c r="D12" s="45">
        <v>0.47</v>
      </c>
      <c r="G12" t="s">
        <v>3</v>
      </c>
    </row>
    <row r="13" spans="2:7" x14ac:dyDescent="0.2">
      <c r="B13" s="6" t="s">
        <v>9</v>
      </c>
      <c r="C13" s="45">
        <v>0.9</v>
      </c>
      <c r="D13" s="45">
        <v>0.1</v>
      </c>
      <c r="G13" t="s">
        <v>3</v>
      </c>
    </row>
    <row r="15" spans="2:7" x14ac:dyDescent="0.2">
      <c r="C15" s="7"/>
    </row>
    <row r="16" spans="2:7" x14ac:dyDescent="0.2">
      <c r="C16" s="7" t="s">
        <v>10</v>
      </c>
      <c r="D16" s="11" t="s">
        <v>11</v>
      </c>
      <c r="E16" s="7" t="s">
        <v>17</v>
      </c>
    </row>
    <row r="17" spans="2:13" x14ac:dyDescent="0.2">
      <c r="B17" s="10" t="s">
        <v>16</v>
      </c>
      <c r="C17" s="44">
        <f>'2a. Premiums - stock'!D15</f>
        <v>179855</v>
      </c>
      <c r="D17" s="44">
        <f>'1. Policy Count'!C15</f>
        <v>1210</v>
      </c>
      <c r="E17" s="48">
        <f>C17/D17</f>
        <v>148.64049586776861</v>
      </c>
      <c r="G17" t="s">
        <v>39</v>
      </c>
    </row>
    <row r="18" spans="2:13" x14ac:dyDescent="0.2">
      <c r="B18" s="10" t="s">
        <v>6</v>
      </c>
      <c r="C18" s="48">
        <f>$C$17*C12</f>
        <v>95323.150000000009</v>
      </c>
      <c r="D18" s="48">
        <f>$D$17*C13</f>
        <v>1089</v>
      </c>
      <c r="E18" s="48">
        <f>C18/D18</f>
        <v>87.532736455463734</v>
      </c>
    </row>
    <row r="19" spans="2:13" x14ac:dyDescent="0.2">
      <c r="B19" s="10" t="s">
        <v>7</v>
      </c>
      <c r="C19" s="48">
        <f>$C$17*D12</f>
        <v>84531.849999999991</v>
      </c>
      <c r="D19" s="48">
        <f>$D$17*D13</f>
        <v>121</v>
      </c>
      <c r="E19" s="48">
        <f>C19/D19</f>
        <v>698.61033057851228</v>
      </c>
    </row>
    <row r="22" spans="2:13" x14ac:dyDescent="0.2">
      <c r="B22" s="15" t="s">
        <v>21</v>
      </c>
      <c r="E22" s="12"/>
    </row>
    <row r="23" spans="2:13" x14ac:dyDescent="0.2">
      <c r="B23" s="10" t="s">
        <v>22</v>
      </c>
    </row>
    <row r="25" spans="2:13" x14ac:dyDescent="0.2">
      <c r="B25" s="6" t="s">
        <v>23</v>
      </c>
    </row>
    <row r="26" spans="2:13" x14ac:dyDescent="0.2">
      <c r="C26" s="16">
        <v>42614</v>
      </c>
      <c r="D26" s="16">
        <v>42856</v>
      </c>
      <c r="E26" s="7" t="s">
        <v>25</v>
      </c>
    </row>
    <row r="27" spans="2:13" x14ac:dyDescent="0.2">
      <c r="B27" s="10" t="s">
        <v>24</v>
      </c>
      <c r="C27" s="44">
        <v>264500</v>
      </c>
      <c r="D27" s="44">
        <v>480000</v>
      </c>
      <c r="E27" s="49">
        <f>D27/C27-1</f>
        <v>0.81474480151228734</v>
      </c>
    </row>
    <row r="29" spans="2:13" x14ac:dyDescent="0.2">
      <c r="B29" s="6" t="s">
        <v>30</v>
      </c>
    </row>
    <row r="30" spans="2:13" x14ac:dyDescent="0.2">
      <c r="C30" s="7" t="s">
        <v>26</v>
      </c>
      <c r="D30" s="7" t="s">
        <v>28</v>
      </c>
      <c r="G30" s="1" t="s">
        <v>29</v>
      </c>
    </row>
    <row r="31" spans="2:13" x14ac:dyDescent="0.2">
      <c r="B31" s="6" t="s">
        <v>6</v>
      </c>
      <c r="C31" s="8">
        <f>E18</f>
        <v>87.532736455463734</v>
      </c>
      <c r="D31" s="48">
        <f>C31</f>
        <v>87.532736455463734</v>
      </c>
      <c r="G31" t="s">
        <v>27</v>
      </c>
      <c r="L31" s="68"/>
      <c r="M31" s="8"/>
    </row>
    <row r="32" spans="2:13" x14ac:dyDescent="0.2">
      <c r="B32" s="10" t="s">
        <v>7</v>
      </c>
      <c r="C32" s="8">
        <f>E19</f>
        <v>698.61033057851228</v>
      </c>
      <c r="D32" s="48">
        <f>C32*(1+E27)</f>
        <v>1267.7994657001357</v>
      </c>
      <c r="G32" t="s">
        <v>119</v>
      </c>
      <c r="L32" s="68"/>
      <c r="M32" s="8"/>
    </row>
    <row r="33" spans="2:7" x14ac:dyDescent="0.2">
      <c r="B33" s="10" t="s">
        <v>16</v>
      </c>
      <c r="C33" s="8">
        <f>E17</f>
        <v>148.64049586776861</v>
      </c>
      <c r="D33" s="48">
        <f>D31*C13+D32*D13</f>
        <v>205.55940937993094</v>
      </c>
      <c r="G33" t="s">
        <v>34</v>
      </c>
    </row>
    <row r="35" spans="2:7" x14ac:dyDescent="0.2">
      <c r="B35" s="10" t="s">
        <v>31</v>
      </c>
    </row>
    <row r="36" spans="2:7" x14ac:dyDescent="0.2">
      <c r="B36" s="17">
        <v>42735</v>
      </c>
      <c r="D36" s="8">
        <f>C33</f>
        <v>148.64049586776861</v>
      </c>
    </row>
    <row r="37" spans="2:7" x14ac:dyDescent="0.2">
      <c r="B37" s="17">
        <v>42766</v>
      </c>
      <c r="C37" s="6">
        <v>1</v>
      </c>
      <c r="D37" s="48">
        <f>C$33+(D$33-C$33)*(C37/5)</f>
        <v>160.02427857020106</v>
      </c>
      <c r="G37" t="s">
        <v>32</v>
      </c>
    </row>
    <row r="38" spans="2:7" x14ac:dyDescent="0.2">
      <c r="B38" s="17">
        <v>42794</v>
      </c>
      <c r="C38" s="6">
        <v>2</v>
      </c>
      <c r="D38" s="48">
        <f>C$33+(D$33-C$33)*(C38/5)</f>
        <v>171.40806127263355</v>
      </c>
      <c r="G38" t="s">
        <v>32</v>
      </c>
    </row>
    <row r="39" spans="2:7" x14ac:dyDescent="0.2">
      <c r="B39" s="17">
        <v>42825</v>
      </c>
      <c r="C39" s="10">
        <v>3</v>
      </c>
      <c r="D39" s="48">
        <f>C$33+(D$33-C$33)*(C39/5)</f>
        <v>182.791843975066</v>
      </c>
      <c r="G39" t="s">
        <v>32</v>
      </c>
    </row>
    <row r="40" spans="2:7" x14ac:dyDescent="0.2">
      <c r="B40" s="17">
        <v>42855</v>
      </c>
      <c r="C40" s="10">
        <v>4</v>
      </c>
      <c r="D40" s="48">
        <f>C$33+(D$33-C$33)*(C40/5)</f>
        <v>194.17562667749849</v>
      </c>
      <c r="G40" t="s">
        <v>32</v>
      </c>
    </row>
    <row r="41" spans="2:7" x14ac:dyDescent="0.2">
      <c r="B41" s="17">
        <v>42886</v>
      </c>
      <c r="C41" s="10">
        <v>5</v>
      </c>
      <c r="D41" s="48">
        <f>C$33+(D$33-C$33)*(C41/5)</f>
        <v>205.55940937993094</v>
      </c>
      <c r="G41" t="s">
        <v>32</v>
      </c>
    </row>
    <row r="42" spans="2:7" x14ac:dyDescent="0.2">
      <c r="B42" s="17"/>
      <c r="D42" s="10"/>
    </row>
  </sheetData>
  <mergeCells count="1">
    <mergeCell ref="B8:C8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6:F32"/>
  <sheetViews>
    <sheetView zoomScale="80" zoomScaleNormal="80" workbookViewId="0">
      <selection activeCell="D6" sqref="D6"/>
    </sheetView>
  </sheetViews>
  <sheetFormatPr baseColWidth="10" defaultColWidth="8.83203125" defaultRowHeight="15" x14ac:dyDescent="0.2"/>
  <cols>
    <col min="1" max="1" width="2.33203125" customWidth="1"/>
    <col min="2" max="4" width="17" customWidth="1"/>
    <col min="5" max="5" width="2.5" customWidth="1"/>
    <col min="6" max="6" width="38.6640625" bestFit="1" customWidth="1"/>
    <col min="7" max="7" width="11.5" customWidth="1"/>
  </cols>
  <sheetData>
    <row r="6" spans="2:6" s="6" customFormat="1" ht="19" x14ac:dyDescent="0.25">
      <c r="B6" s="14" t="s">
        <v>36</v>
      </c>
      <c r="E6"/>
    </row>
    <row r="7" spans="2:6" s="6" customFormat="1" x14ac:dyDescent="0.2">
      <c r="B7" s="41" t="s">
        <v>15</v>
      </c>
      <c r="C7" s="41"/>
    </row>
    <row r="8" spans="2:6" s="6" customFormat="1" x14ac:dyDescent="0.2">
      <c r="B8" s="70" t="s">
        <v>40</v>
      </c>
      <c r="C8" s="70"/>
    </row>
    <row r="10" spans="2:6" x14ac:dyDescent="0.2">
      <c r="B10" s="1" t="s">
        <v>36</v>
      </c>
      <c r="C10" s="1" t="s">
        <v>35</v>
      </c>
      <c r="D10" s="1" t="s">
        <v>38</v>
      </c>
      <c r="F10" s="1" t="s">
        <v>2</v>
      </c>
    </row>
    <row r="11" spans="2:6" x14ac:dyDescent="0.2">
      <c r="B11" s="18">
        <v>2016</v>
      </c>
      <c r="C11" s="46">
        <v>6</v>
      </c>
      <c r="D11" s="44">
        <v>4589</v>
      </c>
      <c r="F11" t="s">
        <v>41</v>
      </c>
    </row>
    <row r="12" spans="2:6" x14ac:dyDescent="0.2">
      <c r="B12" t="s">
        <v>37</v>
      </c>
      <c r="C12" s="46">
        <v>117</v>
      </c>
      <c r="D12" s="44">
        <v>143190</v>
      </c>
      <c r="F12" t="s">
        <v>4</v>
      </c>
    </row>
    <row r="13" spans="2:6" x14ac:dyDescent="0.2">
      <c r="B13" s="18">
        <v>2017</v>
      </c>
      <c r="C13" s="50">
        <f>C12-C11</f>
        <v>111</v>
      </c>
      <c r="D13" s="48">
        <f>D12-D11</f>
        <v>138601</v>
      </c>
    </row>
    <row r="15" spans="2:6" x14ac:dyDescent="0.2">
      <c r="C15" s="1" t="s">
        <v>42</v>
      </c>
    </row>
    <row r="16" spans="2:6" x14ac:dyDescent="0.2">
      <c r="B16" s="18">
        <v>2016</v>
      </c>
      <c r="C16" s="48">
        <f>D11/C11</f>
        <v>764.83333333333337</v>
      </c>
    </row>
    <row r="17" spans="2:4" x14ac:dyDescent="0.2">
      <c r="B17" s="18">
        <v>2017</v>
      </c>
      <c r="C17" s="48">
        <f>D13/C13</f>
        <v>1248.6576576576576</v>
      </c>
    </row>
    <row r="19" spans="2:4" x14ac:dyDescent="0.2">
      <c r="B19" s="1" t="s">
        <v>45</v>
      </c>
      <c r="C19" s="1" t="s">
        <v>46</v>
      </c>
      <c r="D19" s="1" t="s">
        <v>43</v>
      </c>
    </row>
    <row r="20" spans="2:4" x14ac:dyDescent="0.2">
      <c r="B20" s="18">
        <v>2016</v>
      </c>
      <c r="C20" s="47">
        <f>'2b. Premiums - sold'!G22</f>
        <v>33481.271694214876</v>
      </c>
      <c r="D20" s="51">
        <f>D11/C20</f>
        <v>0.13706169950506744</v>
      </c>
    </row>
    <row r="21" spans="2:4" x14ac:dyDescent="0.2">
      <c r="B21" s="18">
        <v>2017</v>
      </c>
      <c r="C21" s="47">
        <f>'2b. Premiums - sold'!H22</f>
        <v>582086.32510368992</v>
      </c>
      <c r="D21" s="51">
        <f>D13/C21</f>
        <v>0.23811073035483238</v>
      </c>
    </row>
    <row r="32" spans="2:4" x14ac:dyDescent="0.2">
      <c r="D32" s="69"/>
    </row>
  </sheetData>
  <mergeCells count="1">
    <mergeCell ref="B8:C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6:F23"/>
  <sheetViews>
    <sheetView zoomScale="80" zoomScaleNormal="80" workbookViewId="0">
      <selection activeCell="D19" sqref="D19"/>
    </sheetView>
  </sheetViews>
  <sheetFormatPr baseColWidth="10" defaultColWidth="8.83203125" defaultRowHeight="15" x14ac:dyDescent="0.2"/>
  <cols>
    <col min="1" max="1" width="2.33203125" customWidth="1"/>
    <col min="2" max="2" width="47.1640625" bestFit="1" customWidth="1"/>
    <col min="3" max="4" width="18.33203125" customWidth="1"/>
    <col min="5" max="5" width="1.5" customWidth="1"/>
    <col min="6" max="6" width="33.1640625" customWidth="1"/>
  </cols>
  <sheetData>
    <row r="6" spans="2:6" s="6" customFormat="1" ht="19" x14ac:dyDescent="0.25">
      <c r="B6" s="14" t="s">
        <v>62</v>
      </c>
    </row>
    <row r="7" spans="2:6" s="6" customFormat="1" x14ac:dyDescent="0.2">
      <c r="B7" s="41" t="s">
        <v>15</v>
      </c>
    </row>
    <row r="8" spans="2:6" s="6" customFormat="1" x14ac:dyDescent="0.2">
      <c r="B8" s="52" t="s">
        <v>40</v>
      </c>
    </row>
    <row r="10" spans="2:6" x14ac:dyDescent="0.2">
      <c r="C10" s="20">
        <v>2016</v>
      </c>
      <c r="D10" s="20" t="s">
        <v>57</v>
      </c>
    </row>
    <row r="11" spans="2:6" x14ac:dyDescent="0.2">
      <c r="B11" s="25" t="s">
        <v>56</v>
      </c>
      <c r="C11" s="26">
        <f>SUM('2b. Premiums - sold'!D11:D15)</f>
        <v>179855</v>
      </c>
      <c r="D11" s="26">
        <f>SUM('2b. Premiums - sold'!D16:D20)</f>
        <v>2762727.9452737113</v>
      </c>
    </row>
    <row r="12" spans="2:6" x14ac:dyDescent="0.2">
      <c r="C12" s="4"/>
      <c r="D12" s="4"/>
    </row>
    <row r="13" spans="2:6" x14ac:dyDescent="0.2">
      <c r="B13" t="s">
        <v>59</v>
      </c>
      <c r="C13" s="4">
        <f>'3. Claims'!D11</f>
        <v>4589</v>
      </c>
      <c r="D13" s="4">
        <f>'3. Claims'!D13</f>
        <v>138601</v>
      </c>
    </row>
    <row r="14" spans="2:6" x14ac:dyDescent="0.2">
      <c r="B14" t="s">
        <v>58</v>
      </c>
      <c r="C14" s="4">
        <f>C11*20%</f>
        <v>35971</v>
      </c>
      <c r="D14" s="4">
        <f>D11*20%</f>
        <v>552545.58905474225</v>
      </c>
      <c r="F14" t="s">
        <v>61</v>
      </c>
    </row>
    <row r="15" spans="2:6" x14ac:dyDescent="0.2">
      <c r="C15" s="4"/>
      <c r="D15" s="4"/>
    </row>
    <row r="16" spans="2:6" x14ac:dyDescent="0.2">
      <c r="B16" s="21" t="s">
        <v>60</v>
      </c>
      <c r="C16" s="24">
        <f>C11-C13-C14</f>
        <v>139295</v>
      </c>
      <c r="D16" s="24">
        <f>D11-D13-D14</f>
        <v>2071581.356218969</v>
      </c>
    </row>
    <row r="17" spans="2:4" x14ac:dyDescent="0.2">
      <c r="C17" s="4"/>
      <c r="D17" s="4"/>
    </row>
    <row r="18" spans="2:4" x14ac:dyDescent="0.2">
      <c r="C18" s="4"/>
      <c r="D18" s="4"/>
    </row>
    <row r="19" spans="2:4" x14ac:dyDescent="0.2">
      <c r="B19" s="21" t="s">
        <v>44</v>
      </c>
      <c r="C19" s="24">
        <f>'2b. Premiums - sold'!G22</f>
        <v>33481.271694214876</v>
      </c>
      <c r="D19" s="24">
        <f>'2b. Premiums - sold'!H22</f>
        <v>582086.32510368992</v>
      </c>
    </row>
    <row r="20" spans="2:4" x14ac:dyDescent="0.2">
      <c r="C20" s="4"/>
      <c r="D20" s="4"/>
    </row>
    <row r="21" spans="2:4" x14ac:dyDescent="0.2">
      <c r="C21" s="4"/>
      <c r="D21" s="4"/>
    </row>
    <row r="22" spans="2:4" x14ac:dyDescent="0.2">
      <c r="C22" s="4"/>
      <c r="D22" s="4"/>
    </row>
    <row r="23" spans="2:4" x14ac:dyDescent="0.2">
      <c r="C23" s="4"/>
      <c r="D23" s="4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6:K35"/>
  <sheetViews>
    <sheetView zoomScale="80" zoomScaleNormal="80" workbookViewId="0">
      <selection activeCell="B3" sqref="B3"/>
    </sheetView>
  </sheetViews>
  <sheetFormatPr baseColWidth="10" defaultColWidth="8.83203125" defaultRowHeight="15" x14ac:dyDescent="0.2"/>
  <cols>
    <col min="1" max="1" width="2.33203125" customWidth="1"/>
    <col min="2" max="2" width="22.83203125" customWidth="1"/>
    <col min="3" max="7" width="15.83203125" customWidth="1"/>
    <col min="8" max="8" width="3.33203125" customWidth="1"/>
    <col min="9" max="11" width="15.83203125" customWidth="1"/>
  </cols>
  <sheetData>
    <row r="6" spans="1:11" ht="19" x14ac:dyDescent="0.25">
      <c r="A6" s="6"/>
      <c r="B6" s="14" t="s">
        <v>87</v>
      </c>
      <c r="C6" s="6"/>
    </row>
    <row r="7" spans="1:11" x14ac:dyDescent="0.2">
      <c r="A7" s="6"/>
      <c r="B7" s="73" t="s">
        <v>15</v>
      </c>
      <c r="C7" s="73"/>
    </row>
    <row r="8" spans="1:11" x14ac:dyDescent="0.2">
      <c r="A8" s="6"/>
      <c r="B8" s="70" t="s">
        <v>40</v>
      </c>
      <c r="C8" s="70"/>
    </row>
    <row r="9" spans="1:11" x14ac:dyDescent="0.2">
      <c r="A9" s="6"/>
      <c r="B9" s="72" t="s">
        <v>65</v>
      </c>
      <c r="C9" s="72"/>
    </row>
    <row r="11" spans="1:11" ht="20" thickBot="1" x14ac:dyDescent="0.3">
      <c r="B11" s="54" t="s">
        <v>92</v>
      </c>
      <c r="C11" s="54"/>
    </row>
    <row r="12" spans="1:11" ht="19" x14ac:dyDescent="0.25">
      <c r="B12" s="14" t="s">
        <v>93</v>
      </c>
      <c r="C12" s="55">
        <f>D33</f>
        <v>413288.11935300834</v>
      </c>
    </row>
    <row r="13" spans="1:11" ht="19" x14ac:dyDescent="0.25">
      <c r="B13" s="14" t="s">
        <v>94</v>
      </c>
      <c r="C13" s="56">
        <f>K33</f>
        <v>84955261.717946798</v>
      </c>
    </row>
    <row r="14" spans="1:11" x14ac:dyDescent="0.2">
      <c r="H14" s="32" t="s">
        <v>71</v>
      </c>
      <c r="I14" s="36">
        <f>AVERAGE(I19:I26)</f>
        <v>0.6488823938129431</v>
      </c>
    </row>
    <row r="16" spans="1:11" ht="33" thickBot="1" x14ac:dyDescent="0.25">
      <c r="B16" s="57" t="s">
        <v>1</v>
      </c>
      <c r="C16" s="58" t="s">
        <v>63</v>
      </c>
      <c r="D16" s="57" t="s">
        <v>53</v>
      </c>
      <c r="E16" s="57" t="s">
        <v>68</v>
      </c>
      <c r="F16" s="57" t="s">
        <v>69</v>
      </c>
      <c r="G16" s="57" t="s">
        <v>70</v>
      </c>
      <c r="H16" s="57"/>
      <c r="I16" s="57" t="s">
        <v>95</v>
      </c>
      <c r="J16" s="57"/>
      <c r="K16" s="57" t="s">
        <v>54</v>
      </c>
    </row>
    <row r="17" spans="2:11" x14ac:dyDescent="0.2">
      <c r="B17" s="3">
        <v>42614</v>
      </c>
      <c r="D17" s="9">
        <f>'2a. Premiums - stock'!C11</f>
        <v>0</v>
      </c>
      <c r="E17" s="47">
        <f t="shared" ref="E17:E25" si="0">D17-SUM(F17:G17)</f>
        <v>0</v>
      </c>
      <c r="F17" s="9"/>
      <c r="G17" s="9"/>
      <c r="H17" s="9"/>
      <c r="I17" s="9"/>
      <c r="J17" s="9"/>
      <c r="K17" s="9">
        <f>'2a. Premiums - stock'!D11</f>
        <v>0</v>
      </c>
    </row>
    <row r="18" spans="2:11" x14ac:dyDescent="0.2">
      <c r="B18" s="3">
        <v>42643</v>
      </c>
      <c r="C18">
        <v>1</v>
      </c>
      <c r="D18" s="9">
        <f>'2a. Premiums - stock'!C12</f>
        <v>263</v>
      </c>
      <c r="E18" s="47">
        <f t="shared" si="0"/>
        <v>263</v>
      </c>
      <c r="F18" s="9"/>
      <c r="G18" s="9"/>
      <c r="H18" s="9"/>
      <c r="I18" s="29" t="s">
        <v>66</v>
      </c>
      <c r="J18" s="9"/>
      <c r="K18" s="9">
        <f>'2a. Premiums - stock'!D12</f>
        <v>39092.450413223145</v>
      </c>
    </row>
    <row r="19" spans="2:11" x14ac:dyDescent="0.2">
      <c r="B19" s="3">
        <v>42674</v>
      </c>
      <c r="C19">
        <f t="shared" ref="C19:C28" si="1">C18+1</f>
        <v>2</v>
      </c>
      <c r="D19" s="9">
        <f>'2a. Premiums - stock'!C13</f>
        <v>514</v>
      </c>
      <c r="E19" s="47">
        <f t="shared" si="0"/>
        <v>514</v>
      </c>
      <c r="F19" s="9"/>
      <c r="G19" s="9"/>
      <c r="H19" s="9"/>
      <c r="I19" s="28">
        <f t="shared" ref="I19:I26" si="2">(E19-E18)/E18</f>
        <v>0.95437262357414454</v>
      </c>
      <c r="J19" s="9"/>
      <c r="K19" s="9">
        <f>'2a. Premiums - stock'!D13</f>
        <v>76401.21487603306</v>
      </c>
    </row>
    <row r="20" spans="2:11" x14ac:dyDescent="0.2">
      <c r="B20" s="3">
        <v>42704</v>
      </c>
      <c r="C20">
        <f t="shared" si="1"/>
        <v>3</v>
      </c>
      <c r="D20" s="9">
        <f>'2a. Premiums - stock'!C14</f>
        <v>716</v>
      </c>
      <c r="E20" s="47">
        <f t="shared" si="0"/>
        <v>716</v>
      </c>
      <c r="F20" s="9"/>
      <c r="G20" s="9"/>
      <c r="H20" s="9"/>
      <c r="I20" s="28">
        <f t="shared" si="2"/>
        <v>0.39299610894941633</v>
      </c>
      <c r="J20" s="9"/>
      <c r="K20" s="9">
        <f>'2a. Premiums - stock'!D14</f>
        <v>106426.59504132232</v>
      </c>
    </row>
    <row r="21" spans="2:11" x14ac:dyDescent="0.2">
      <c r="B21" s="3">
        <v>42735</v>
      </c>
      <c r="C21">
        <f t="shared" si="1"/>
        <v>4</v>
      </c>
      <c r="D21" s="9">
        <f>'2a. Premiums - stock'!C15</f>
        <v>1210</v>
      </c>
      <c r="E21" s="47">
        <f t="shared" si="0"/>
        <v>1210</v>
      </c>
      <c r="F21" s="9"/>
      <c r="G21" s="9"/>
      <c r="H21" s="9"/>
      <c r="I21" s="28">
        <f t="shared" si="2"/>
        <v>0.68994413407821231</v>
      </c>
      <c r="J21" s="9"/>
      <c r="K21" s="9">
        <f>'2a. Premiums - stock'!D15</f>
        <v>179855</v>
      </c>
    </row>
    <row r="22" spans="2:11" x14ac:dyDescent="0.2">
      <c r="B22" s="3">
        <v>42766</v>
      </c>
      <c r="C22">
        <f t="shared" si="1"/>
        <v>5</v>
      </c>
      <c r="D22" s="9">
        <f>'2a. Premiums - stock'!C16</f>
        <v>2230</v>
      </c>
      <c r="E22" s="47">
        <f t="shared" si="0"/>
        <v>2230</v>
      </c>
      <c r="F22" s="9"/>
      <c r="G22" s="9"/>
      <c r="H22" s="9"/>
      <c r="I22" s="28">
        <f t="shared" si="2"/>
        <v>0.84297520661157022</v>
      </c>
      <c r="J22" s="9"/>
      <c r="K22" s="9">
        <f>'2a. Premiums - stock'!D16</f>
        <v>356854.14121154835</v>
      </c>
    </row>
    <row r="23" spans="2:11" x14ac:dyDescent="0.2">
      <c r="B23" s="3">
        <v>42794</v>
      </c>
      <c r="C23">
        <f t="shared" si="1"/>
        <v>6</v>
      </c>
      <c r="D23" s="9">
        <f>'2a. Premiums - stock'!C17</f>
        <v>4115</v>
      </c>
      <c r="E23" s="47">
        <f t="shared" si="0"/>
        <v>4115</v>
      </c>
      <c r="F23" s="9"/>
      <c r="G23" s="9"/>
      <c r="H23" s="9"/>
      <c r="I23" s="28">
        <f t="shared" si="2"/>
        <v>0.8452914798206278</v>
      </c>
      <c r="J23" s="9"/>
      <c r="K23" s="9">
        <f>'2a. Premiums - stock'!D17</f>
        <v>705344.17213688709</v>
      </c>
    </row>
    <row r="24" spans="2:11" x14ac:dyDescent="0.2">
      <c r="B24" s="3">
        <v>42825</v>
      </c>
      <c r="C24">
        <f t="shared" si="1"/>
        <v>7</v>
      </c>
      <c r="D24" s="9">
        <f>'2a. Premiums - stock'!C18</f>
        <v>6000</v>
      </c>
      <c r="E24" s="47">
        <f t="shared" si="0"/>
        <v>6000</v>
      </c>
      <c r="F24" s="9"/>
      <c r="G24" s="9"/>
      <c r="H24" s="9"/>
      <c r="I24" s="28">
        <f t="shared" si="2"/>
        <v>0.45808019441069259</v>
      </c>
      <c r="J24" s="9"/>
      <c r="K24" s="9">
        <f>'2a. Premiums - stock'!D18</f>
        <v>1096751.0638503961</v>
      </c>
    </row>
    <row r="25" spans="2:11" x14ac:dyDescent="0.2">
      <c r="B25" s="3">
        <v>42855</v>
      </c>
      <c r="C25">
        <f t="shared" si="1"/>
        <v>8</v>
      </c>
      <c r="D25" s="9">
        <f>'2a. Premiums - stock'!C19</f>
        <v>9700</v>
      </c>
      <c r="E25" s="47">
        <f t="shared" si="0"/>
        <v>9437</v>
      </c>
      <c r="F25" s="47">
        <v>263</v>
      </c>
      <c r="G25" s="9"/>
      <c r="H25" s="9"/>
      <c r="I25" s="28">
        <f t="shared" si="2"/>
        <v>0.57283333333333331</v>
      </c>
      <c r="J25" s="9"/>
      <c r="K25" s="9">
        <f>'2a. Premiums - stock'!D19</f>
        <v>1883503.5787717353</v>
      </c>
    </row>
    <row r="26" spans="2:11" x14ac:dyDescent="0.2">
      <c r="B26" s="3">
        <v>42886</v>
      </c>
      <c r="C26">
        <f t="shared" si="1"/>
        <v>9</v>
      </c>
      <c r="D26" s="9">
        <f>'2a. Premiums - stock'!C20</f>
        <v>14315</v>
      </c>
      <c r="E26" s="47">
        <f>D26-SUM(F26:G26)</f>
        <v>13538</v>
      </c>
      <c r="F26" s="47">
        <f>E19</f>
        <v>514</v>
      </c>
      <c r="G26" s="5">
        <v>263</v>
      </c>
      <c r="H26" s="9"/>
      <c r="I26" s="28">
        <f t="shared" si="2"/>
        <v>0.4345660697255484</v>
      </c>
      <c r="J26" s="9"/>
      <c r="K26" s="9">
        <f>'2a. Premiums - stock'!D20</f>
        <v>2942582.9452737113</v>
      </c>
    </row>
    <row r="27" spans="2:11" x14ac:dyDescent="0.2">
      <c r="B27" s="3">
        <f>EOMONTH(B26,1)</f>
        <v>42916</v>
      </c>
      <c r="C27">
        <f t="shared" si="1"/>
        <v>10</v>
      </c>
      <c r="D27" s="31">
        <f>SUM(E27:G27)</f>
        <v>20651.155451944476</v>
      </c>
      <c r="E27" s="31">
        <f>E26*(1+I26)</f>
        <v>19421.155451944476</v>
      </c>
      <c r="F27" s="31">
        <f t="shared" ref="F27:F33" si="3">E20</f>
        <v>716</v>
      </c>
      <c r="G27" s="31">
        <f>E19</f>
        <v>514</v>
      </c>
      <c r="H27" s="9"/>
      <c r="I27" s="30">
        <f>$I$14</f>
        <v>0.6488823938129431</v>
      </c>
      <c r="J27" s="9"/>
      <c r="K27" s="53">
        <f>D27*'2c. Average Premium'!$D$41</f>
        <v>4245039.3177148476</v>
      </c>
    </row>
    <row r="28" spans="2:11" x14ac:dyDescent="0.2">
      <c r="B28" s="3">
        <f t="shared" ref="B28:B33" si="4">EOMONTH(B27,1)</f>
        <v>42947</v>
      </c>
      <c r="C28">
        <f t="shared" si="1"/>
        <v>11</v>
      </c>
      <c r="D28" s="31">
        <f t="shared" ref="D28:D33" si="5">SUM(E28:G28)</f>
        <v>33949.201292215497</v>
      </c>
      <c r="E28" s="31">
        <f t="shared" ref="E28:E33" si="6">E27*(1+I27)</f>
        <v>32023.201292215497</v>
      </c>
      <c r="F28" s="31">
        <f t="shared" si="3"/>
        <v>1210</v>
      </c>
      <c r="G28" s="31">
        <f t="shared" ref="G28:G33" si="7">E20</f>
        <v>716</v>
      </c>
      <c r="H28" s="9"/>
      <c r="I28" s="30">
        <f t="shared" ref="I28:I33" si="8">$I$14</f>
        <v>0.6488823938129431</v>
      </c>
      <c r="J28" s="9"/>
      <c r="K28" s="53">
        <f>D28*'2c. Average Premium'!$D$41</f>
        <v>6978577.7665482061</v>
      </c>
    </row>
    <row r="29" spans="2:11" x14ac:dyDescent="0.2">
      <c r="B29" s="3">
        <f t="shared" si="4"/>
        <v>42978</v>
      </c>
      <c r="C29">
        <f t="shared" ref="C29:C33" si="9">C28+1</f>
        <v>12</v>
      </c>
      <c r="D29" s="31">
        <f t="shared" si="5"/>
        <v>56242.492804262023</v>
      </c>
      <c r="E29" s="31">
        <f t="shared" si="6"/>
        <v>52802.492804262023</v>
      </c>
      <c r="F29" s="31">
        <f t="shared" si="3"/>
        <v>2230</v>
      </c>
      <c r="G29" s="31">
        <f t="shared" si="7"/>
        <v>1210</v>
      </c>
      <c r="H29" s="9"/>
      <c r="I29" s="30">
        <f t="shared" si="8"/>
        <v>0.6488823938129431</v>
      </c>
      <c r="J29" s="9"/>
      <c r="K29" s="53">
        <f>D29*'2c. Average Premium'!$D$41</f>
        <v>11561173.602899117</v>
      </c>
    </row>
    <row r="30" spans="2:11" x14ac:dyDescent="0.2">
      <c r="B30" s="3">
        <f t="shared" si="4"/>
        <v>43008</v>
      </c>
      <c r="C30">
        <f t="shared" si="9"/>
        <v>13</v>
      </c>
      <c r="D30" s="31">
        <f t="shared" si="5"/>
        <v>93410.100734382271</v>
      </c>
      <c r="E30" s="31">
        <f t="shared" si="6"/>
        <v>87065.100734382271</v>
      </c>
      <c r="F30" s="31">
        <f t="shared" si="3"/>
        <v>4115</v>
      </c>
      <c r="G30" s="31">
        <f t="shared" si="7"/>
        <v>2230</v>
      </c>
      <c r="H30" s="9"/>
      <c r="I30" s="30">
        <f t="shared" si="8"/>
        <v>0.6488823938129431</v>
      </c>
      <c r="J30" s="9"/>
      <c r="K30" s="53">
        <f>D30*'2c. Average Premium'!$D$41</f>
        <v>19201325.137079474</v>
      </c>
    </row>
    <row r="31" spans="2:11" x14ac:dyDescent="0.2">
      <c r="B31" s="3">
        <f t="shared" si="4"/>
        <v>43039</v>
      </c>
      <c r="C31">
        <f t="shared" si="9"/>
        <v>14</v>
      </c>
      <c r="D31" s="31">
        <f t="shared" si="5"/>
        <v>153675.11171647327</v>
      </c>
      <c r="E31" s="31">
        <f t="shared" si="6"/>
        <v>143560.11171647327</v>
      </c>
      <c r="F31" s="31">
        <f t="shared" si="3"/>
        <v>6000</v>
      </c>
      <c r="G31" s="31">
        <f t="shared" si="7"/>
        <v>4115</v>
      </c>
      <c r="H31" s="9"/>
      <c r="I31" s="30">
        <f t="shared" si="8"/>
        <v>0.6488823938129431</v>
      </c>
      <c r="J31" s="9"/>
      <c r="K31" s="53">
        <f>D31*'2c. Average Premium'!$D$41</f>
        <v>31589365.200833149</v>
      </c>
    </row>
    <row r="32" spans="2:11" x14ac:dyDescent="0.2">
      <c r="B32" s="3">
        <f t="shared" si="4"/>
        <v>43069</v>
      </c>
      <c r="C32">
        <f t="shared" si="9"/>
        <v>15</v>
      </c>
      <c r="D32" s="31">
        <f t="shared" si="5"/>
        <v>252150.740663112</v>
      </c>
      <c r="E32" s="31">
        <f t="shared" si="6"/>
        <v>236713.740663112</v>
      </c>
      <c r="F32" s="31">
        <f t="shared" si="3"/>
        <v>9437</v>
      </c>
      <c r="G32" s="31">
        <f t="shared" si="7"/>
        <v>6000</v>
      </c>
      <c r="H32" s="9"/>
      <c r="I32" s="30">
        <f t="shared" si="8"/>
        <v>0.6488823938129431</v>
      </c>
      <c r="J32" s="9"/>
      <c r="K32" s="53">
        <f>D32*'2c. Average Premium'!$D$41</f>
        <v>51831957.325421438</v>
      </c>
    </row>
    <row r="33" spans="2:11" x14ac:dyDescent="0.2">
      <c r="B33" s="3">
        <f t="shared" si="4"/>
        <v>43100</v>
      </c>
      <c r="C33">
        <f t="shared" si="9"/>
        <v>16</v>
      </c>
      <c r="D33" s="31">
        <f t="shared" si="5"/>
        <v>413288.11935300834</v>
      </c>
      <c r="E33" s="31">
        <f t="shared" si="6"/>
        <v>390313.11935300834</v>
      </c>
      <c r="F33" s="31">
        <f t="shared" si="3"/>
        <v>13538</v>
      </c>
      <c r="G33" s="31">
        <f t="shared" si="7"/>
        <v>9437</v>
      </c>
      <c r="H33" s="9"/>
      <c r="I33" s="30">
        <f t="shared" si="8"/>
        <v>0.6488823938129431</v>
      </c>
      <c r="J33" s="9"/>
      <c r="K33" s="53">
        <f>D33*'2c. Average Premium'!$D$41</f>
        <v>84955261.717946798</v>
      </c>
    </row>
    <row r="34" spans="2:11" x14ac:dyDescent="0.2">
      <c r="H34" s="9"/>
    </row>
    <row r="35" spans="2:11" x14ac:dyDescent="0.2">
      <c r="H35" s="9"/>
    </row>
  </sheetData>
  <mergeCells count="3">
    <mergeCell ref="B9:C9"/>
    <mergeCell ref="B7:C7"/>
    <mergeCell ref="B8:C8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6:K40"/>
  <sheetViews>
    <sheetView zoomScale="80" zoomScaleNormal="80" workbookViewId="0">
      <selection activeCell="D6" sqref="D6"/>
    </sheetView>
  </sheetViews>
  <sheetFormatPr baseColWidth="10" defaultColWidth="8.83203125" defaultRowHeight="15" x14ac:dyDescent="0.2"/>
  <cols>
    <col min="1" max="1" width="2.33203125" customWidth="1"/>
    <col min="2" max="2" width="22.6640625" customWidth="1"/>
    <col min="3" max="5" width="15.83203125" customWidth="1"/>
    <col min="6" max="6" width="18" customWidth="1"/>
    <col min="7" max="7" width="15.83203125" customWidth="1"/>
    <col min="8" max="8" width="3.33203125" customWidth="1"/>
    <col min="9" max="11" width="15.83203125" customWidth="1"/>
  </cols>
  <sheetData>
    <row r="6" spans="1:11" ht="19" x14ac:dyDescent="0.25">
      <c r="A6" s="6"/>
      <c r="B6" s="14" t="s">
        <v>88</v>
      </c>
      <c r="C6" s="6"/>
    </row>
    <row r="7" spans="1:11" x14ac:dyDescent="0.2">
      <c r="A7" s="6"/>
      <c r="B7" s="73" t="s">
        <v>15</v>
      </c>
      <c r="C7" s="73"/>
    </row>
    <row r="8" spans="1:11" x14ac:dyDescent="0.2">
      <c r="A8" s="6"/>
      <c r="B8" s="74" t="s">
        <v>40</v>
      </c>
      <c r="C8" s="74"/>
    </row>
    <row r="9" spans="1:11" x14ac:dyDescent="0.2">
      <c r="A9" s="6"/>
      <c r="B9" s="72" t="s">
        <v>65</v>
      </c>
      <c r="C9" s="72"/>
    </row>
    <row r="10" spans="1:11" x14ac:dyDescent="0.2">
      <c r="A10" s="6"/>
    </row>
    <row r="11" spans="1:11" ht="20" thickBot="1" x14ac:dyDescent="0.3">
      <c r="A11" s="6"/>
      <c r="B11" s="54" t="s">
        <v>92</v>
      </c>
      <c r="C11" s="54"/>
    </row>
    <row r="12" spans="1:11" ht="19" x14ac:dyDescent="0.25">
      <c r="A12" s="6"/>
      <c r="B12" s="14" t="s">
        <v>93</v>
      </c>
      <c r="C12" s="55">
        <f>D33</f>
        <v>65220</v>
      </c>
    </row>
    <row r="13" spans="1:11" ht="19" x14ac:dyDescent="0.25">
      <c r="A13" s="6"/>
      <c r="B13" s="14" t="s">
        <v>94</v>
      </c>
      <c r="C13" s="56">
        <f>K33</f>
        <v>13406584.679759096</v>
      </c>
    </row>
    <row r="14" spans="1:11" x14ac:dyDescent="0.2">
      <c r="A14" s="6"/>
      <c r="H14" s="32" t="s">
        <v>71</v>
      </c>
      <c r="I14" s="36">
        <f>AVERAGE(I19:I26)</f>
        <v>0.6488823938129431</v>
      </c>
    </row>
    <row r="16" spans="1:11" ht="33" thickBot="1" x14ac:dyDescent="0.25">
      <c r="B16" s="57" t="s">
        <v>1</v>
      </c>
      <c r="C16" s="58" t="s">
        <v>63</v>
      </c>
      <c r="D16" s="57" t="s">
        <v>53</v>
      </c>
      <c r="E16" s="57" t="s">
        <v>68</v>
      </c>
      <c r="F16" s="57" t="s">
        <v>69</v>
      </c>
      <c r="G16" s="57" t="s">
        <v>70</v>
      </c>
      <c r="H16" s="57"/>
      <c r="I16" s="57" t="s">
        <v>95</v>
      </c>
      <c r="J16" s="57"/>
      <c r="K16" s="57" t="s">
        <v>54</v>
      </c>
    </row>
    <row r="17" spans="2:11" x14ac:dyDescent="0.2">
      <c r="B17" s="3">
        <v>42614</v>
      </c>
      <c r="D17" s="9">
        <f>'2a. Premiums - stock'!C11</f>
        <v>0</v>
      </c>
      <c r="E17" s="47">
        <f t="shared" ref="E17:E25" si="0">D17-SUM(F17:G17)</f>
        <v>0</v>
      </c>
      <c r="F17" s="9"/>
      <c r="G17" s="9"/>
      <c r="H17" s="9"/>
      <c r="I17" s="9"/>
      <c r="J17" s="9"/>
      <c r="K17" s="9">
        <f>'2a. Premiums - stock'!D11</f>
        <v>0</v>
      </c>
    </row>
    <row r="18" spans="2:11" x14ac:dyDescent="0.2">
      <c r="B18" s="3">
        <v>42643</v>
      </c>
      <c r="C18">
        <v>1</v>
      </c>
      <c r="D18" s="9">
        <f>'2a. Premiums - stock'!C12</f>
        <v>263</v>
      </c>
      <c r="E18" s="47">
        <f t="shared" si="0"/>
        <v>263</v>
      </c>
      <c r="F18" s="9"/>
      <c r="G18" s="9"/>
      <c r="H18" s="9"/>
      <c r="I18" s="29" t="s">
        <v>66</v>
      </c>
      <c r="J18" s="9"/>
      <c r="K18" s="9">
        <f>'2a. Premiums - stock'!D12</f>
        <v>39092.450413223145</v>
      </c>
    </row>
    <row r="19" spans="2:11" x14ac:dyDescent="0.2">
      <c r="B19" s="3">
        <v>42674</v>
      </c>
      <c r="C19">
        <f t="shared" ref="C19:C33" si="1">C18+1</f>
        <v>2</v>
      </c>
      <c r="D19" s="9">
        <f>'2a. Premiums - stock'!C13</f>
        <v>514</v>
      </c>
      <c r="E19" s="47">
        <f t="shared" si="0"/>
        <v>514</v>
      </c>
      <c r="F19" s="9"/>
      <c r="G19" s="9"/>
      <c r="H19" s="9"/>
      <c r="I19" s="28">
        <f t="shared" ref="I19:I26" si="2">(E19-E18)/E18</f>
        <v>0.95437262357414454</v>
      </c>
      <c r="J19" s="9"/>
      <c r="K19" s="9">
        <f>'2a. Premiums - stock'!D13</f>
        <v>76401.21487603306</v>
      </c>
    </row>
    <row r="20" spans="2:11" x14ac:dyDescent="0.2">
      <c r="B20" s="3">
        <v>42704</v>
      </c>
      <c r="C20">
        <f t="shared" si="1"/>
        <v>3</v>
      </c>
      <c r="D20" s="9">
        <f>'2a. Premiums - stock'!C14</f>
        <v>716</v>
      </c>
      <c r="E20" s="47">
        <f t="shared" si="0"/>
        <v>716</v>
      </c>
      <c r="F20" s="9"/>
      <c r="G20" s="9"/>
      <c r="H20" s="9"/>
      <c r="I20" s="28">
        <f t="shared" si="2"/>
        <v>0.39299610894941633</v>
      </c>
      <c r="J20" s="9"/>
      <c r="K20" s="9">
        <f>'2a. Premiums - stock'!D14</f>
        <v>106426.59504132232</v>
      </c>
    </row>
    <row r="21" spans="2:11" x14ac:dyDescent="0.2">
      <c r="B21" s="3">
        <v>42735</v>
      </c>
      <c r="C21">
        <f t="shared" si="1"/>
        <v>4</v>
      </c>
      <c r="D21" s="9">
        <f>'2a. Premiums - stock'!C15</f>
        <v>1210</v>
      </c>
      <c r="E21" s="47">
        <f t="shared" si="0"/>
        <v>1210</v>
      </c>
      <c r="F21" s="9"/>
      <c r="G21" s="9"/>
      <c r="H21" s="9"/>
      <c r="I21" s="28">
        <f t="shared" si="2"/>
        <v>0.68994413407821231</v>
      </c>
      <c r="J21" s="9"/>
      <c r="K21" s="9">
        <f>'2a. Premiums - stock'!D15</f>
        <v>179855</v>
      </c>
    </row>
    <row r="22" spans="2:11" x14ac:dyDescent="0.2">
      <c r="B22" s="3">
        <v>42766</v>
      </c>
      <c r="C22">
        <f t="shared" si="1"/>
        <v>5</v>
      </c>
      <c r="D22" s="9">
        <f>'2a. Premiums - stock'!C16</f>
        <v>2230</v>
      </c>
      <c r="E22" s="47">
        <f t="shared" si="0"/>
        <v>2230</v>
      </c>
      <c r="F22" s="9"/>
      <c r="G22" s="9"/>
      <c r="H22" s="9"/>
      <c r="I22" s="28">
        <f t="shared" si="2"/>
        <v>0.84297520661157022</v>
      </c>
      <c r="J22" s="9"/>
      <c r="K22" s="9">
        <f>'2a. Premiums - stock'!D16</f>
        <v>356854.14121154835</v>
      </c>
    </row>
    <row r="23" spans="2:11" x14ac:dyDescent="0.2">
      <c r="B23" s="3">
        <v>42794</v>
      </c>
      <c r="C23">
        <f t="shared" si="1"/>
        <v>6</v>
      </c>
      <c r="D23" s="9">
        <f>'2a. Premiums - stock'!C17</f>
        <v>4115</v>
      </c>
      <c r="E23" s="47">
        <f t="shared" si="0"/>
        <v>4115</v>
      </c>
      <c r="F23" s="9"/>
      <c r="G23" s="9"/>
      <c r="H23" s="9"/>
      <c r="I23" s="28">
        <f t="shared" si="2"/>
        <v>0.8452914798206278</v>
      </c>
      <c r="J23" s="9"/>
      <c r="K23" s="9">
        <f>'2a. Premiums - stock'!D17</f>
        <v>705344.17213688709</v>
      </c>
    </row>
    <row r="24" spans="2:11" x14ac:dyDescent="0.2">
      <c r="B24" s="3">
        <v>42825</v>
      </c>
      <c r="C24">
        <f t="shared" si="1"/>
        <v>7</v>
      </c>
      <c r="D24" s="9">
        <f>'2a. Premiums - stock'!C18</f>
        <v>6000</v>
      </c>
      <c r="E24" s="47">
        <f t="shared" si="0"/>
        <v>6000</v>
      </c>
      <c r="F24" s="9"/>
      <c r="G24" s="9"/>
      <c r="H24" s="9"/>
      <c r="I24" s="28">
        <f t="shared" si="2"/>
        <v>0.45808019441069259</v>
      </c>
      <c r="J24" s="9"/>
      <c r="K24" s="9">
        <f>'2a. Premiums - stock'!D18</f>
        <v>1096751.0638503961</v>
      </c>
    </row>
    <row r="25" spans="2:11" x14ac:dyDescent="0.2">
      <c r="B25" s="3">
        <v>42855</v>
      </c>
      <c r="C25">
        <f t="shared" si="1"/>
        <v>8</v>
      </c>
      <c r="D25" s="9">
        <f>'2a. Premiums - stock'!C19</f>
        <v>9700</v>
      </c>
      <c r="E25" s="47">
        <f t="shared" si="0"/>
        <v>9437</v>
      </c>
      <c r="F25" s="47">
        <v>263</v>
      </c>
      <c r="G25" s="9"/>
      <c r="H25" s="9"/>
      <c r="I25" s="28">
        <f t="shared" si="2"/>
        <v>0.57283333333333331</v>
      </c>
      <c r="J25" s="9"/>
      <c r="K25" s="9">
        <f>'2a. Premiums - stock'!D19</f>
        <v>1883503.5787717353</v>
      </c>
    </row>
    <row r="26" spans="2:11" x14ac:dyDescent="0.2">
      <c r="B26" s="3">
        <v>42886</v>
      </c>
      <c r="C26">
        <f t="shared" si="1"/>
        <v>9</v>
      </c>
      <c r="D26" s="9">
        <f>'2a. Premiums - stock'!C20</f>
        <v>14315</v>
      </c>
      <c r="E26" s="47">
        <f>D26-SUM(F26:G26)</f>
        <v>13538</v>
      </c>
      <c r="F26" s="47">
        <f>E19</f>
        <v>514</v>
      </c>
      <c r="G26" s="47">
        <v>263</v>
      </c>
      <c r="H26" s="9"/>
      <c r="I26" s="28">
        <f t="shared" si="2"/>
        <v>0.4345660697255484</v>
      </c>
      <c r="J26" s="9"/>
      <c r="K26" s="9">
        <f>'2a. Premiums - stock'!D20</f>
        <v>2942582.9452737113</v>
      </c>
    </row>
    <row r="27" spans="2:11" x14ac:dyDescent="0.2">
      <c r="B27" s="3">
        <f>EOMONTH(B26,1)</f>
        <v>42916</v>
      </c>
      <c r="C27">
        <f t="shared" si="1"/>
        <v>10</v>
      </c>
      <c r="D27" s="31">
        <f>SUM(E27:G27)</f>
        <v>18869</v>
      </c>
      <c r="E27" s="31">
        <f>E26+(E26-E25)</f>
        <v>17639</v>
      </c>
      <c r="F27" s="31">
        <f t="shared" ref="F27:F33" si="3">E20</f>
        <v>716</v>
      </c>
      <c r="G27" s="31">
        <f>E19</f>
        <v>514</v>
      </c>
      <c r="H27" s="9"/>
      <c r="I27" s="30">
        <f t="shared" ref="I27:I33" si="4">(E27-E26)/E26</f>
        <v>0.30292509971930859</v>
      </c>
      <c r="J27" s="9"/>
      <c r="K27" s="53">
        <f>D27*'2c. Average Premium'!$D$41</f>
        <v>3878700.4955899171</v>
      </c>
    </row>
    <row r="28" spans="2:11" x14ac:dyDescent="0.2">
      <c r="B28" s="3">
        <f t="shared" ref="B28:B33" si="5">EOMONTH(B27,1)</f>
        <v>42947</v>
      </c>
      <c r="C28">
        <f t="shared" si="1"/>
        <v>11</v>
      </c>
      <c r="D28" s="31">
        <f t="shared" ref="D28:D33" si="6">SUM(E28:G28)</f>
        <v>23666</v>
      </c>
      <c r="E28" s="31">
        <f t="shared" ref="E28:E33" si="7">E27+(E27-E26)</f>
        <v>21740</v>
      </c>
      <c r="F28" s="31">
        <f t="shared" si="3"/>
        <v>1210</v>
      </c>
      <c r="G28" s="31">
        <f t="shared" ref="G28:G33" si="8">E20</f>
        <v>716</v>
      </c>
      <c r="H28" s="9"/>
      <c r="I28" s="30">
        <f t="shared" si="4"/>
        <v>0.23249617325245195</v>
      </c>
      <c r="J28" s="9"/>
      <c r="K28" s="53">
        <f>D28*'2c. Average Premium'!$D$41</f>
        <v>4864768.9823854454</v>
      </c>
    </row>
    <row r="29" spans="2:11" x14ac:dyDescent="0.2">
      <c r="B29" s="3">
        <f t="shared" si="5"/>
        <v>42978</v>
      </c>
      <c r="C29">
        <f t="shared" si="1"/>
        <v>12</v>
      </c>
      <c r="D29" s="31">
        <f t="shared" si="6"/>
        <v>29281</v>
      </c>
      <c r="E29" s="31">
        <f t="shared" si="7"/>
        <v>25841</v>
      </c>
      <c r="F29" s="31">
        <f t="shared" si="3"/>
        <v>2230</v>
      </c>
      <c r="G29" s="31">
        <f t="shared" si="8"/>
        <v>1210</v>
      </c>
      <c r="H29" s="9"/>
      <c r="I29" s="30">
        <f t="shared" si="4"/>
        <v>0.18863845446182154</v>
      </c>
      <c r="J29" s="9"/>
      <c r="K29" s="53">
        <f>D29*'2c. Average Premium'!$D$41</f>
        <v>6018985.0660537574</v>
      </c>
    </row>
    <row r="30" spans="2:11" x14ac:dyDescent="0.2">
      <c r="B30" s="3">
        <f t="shared" si="5"/>
        <v>43008</v>
      </c>
      <c r="C30">
        <f t="shared" si="1"/>
        <v>13</v>
      </c>
      <c r="D30" s="31">
        <f t="shared" si="6"/>
        <v>36287</v>
      </c>
      <c r="E30" s="31">
        <f t="shared" si="7"/>
        <v>29942</v>
      </c>
      <c r="F30" s="31">
        <f t="shared" si="3"/>
        <v>4115</v>
      </c>
      <c r="G30" s="31">
        <f t="shared" si="8"/>
        <v>2230</v>
      </c>
      <c r="H30" s="9"/>
      <c r="I30" s="30">
        <f t="shared" si="4"/>
        <v>0.15870128864982005</v>
      </c>
      <c r="J30" s="9"/>
      <c r="K30" s="53">
        <f>D30*'2c. Average Premium'!$D$41</f>
        <v>7459134.2881695544</v>
      </c>
    </row>
    <row r="31" spans="2:11" x14ac:dyDescent="0.2">
      <c r="B31" s="3">
        <f t="shared" si="5"/>
        <v>43039</v>
      </c>
      <c r="C31">
        <f t="shared" si="1"/>
        <v>14</v>
      </c>
      <c r="D31" s="31">
        <f t="shared" si="6"/>
        <v>44158</v>
      </c>
      <c r="E31" s="31">
        <f t="shared" si="7"/>
        <v>34043</v>
      </c>
      <c r="F31" s="31">
        <f t="shared" si="3"/>
        <v>6000</v>
      </c>
      <c r="G31" s="31">
        <f t="shared" si="8"/>
        <v>4115</v>
      </c>
      <c r="H31" s="9"/>
      <c r="I31" s="30">
        <f t="shared" si="4"/>
        <v>0.13696479861064725</v>
      </c>
      <c r="J31" s="9"/>
      <c r="K31" s="53">
        <f>D31*'2c. Average Premium'!$D$41</f>
        <v>9077092.39939899</v>
      </c>
    </row>
    <row r="32" spans="2:11" x14ac:dyDescent="0.2">
      <c r="B32" s="3">
        <f t="shared" si="5"/>
        <v>43069</v>
      </c>
      <c r="C32">
        <f t="shared" si="1"/>
        <v>15</v>
      </c>
      <c r="D32" s="31">
        <f t="shared" si="6"/>
        <v>53581</v>
      </c>
      <c r="E32" s="31">
        <f t="shared" si="7"/>
        <v>38144</v>
      </c>
      <c r="F32" s="31">
        <f t="shared" si="3"/>
        <v>9437</v>
      </c>
      <c r="G32" s="31">
        <f t="shared" si="8"/>
        <v>6000</v>
      </c>
      <c r="H32" s="9"/>
      <c r="I32" s="30">
        <f t="shared" si="4"/>
        <v>0.12046529389301766</v>
      </c>
      <c r="J32" s="9"/>
      <c r="K32" s="53">
        <f>D32*'2c. Average Premium'!$D$41</f>
        <v>11014078.71398608</v>
      </c>
    </row>
    <row r="33" spans="2:11" x14ac:dyDescent="0.2">
      <c r="B33" s="3">
        <f t="shared" si="5"/>
        <v>43100</v>
      </c>
      <c r="C33">
        <f t="shared" si="1"/>
        <v>16</v>
      </c>
      <c r="D33" s="31">
        <f t="shared" si="6"/>
        <v>65220</v>
      </c>
      <c r="E33" s="31">
        <f t="shared" si="7"/>
        <v>42245</v>
      </c>
      <c r="F33" s="31">
        <f t="shared" si="3"/>
        <v>13538</v>
      </c>
      <c r="G33" s="31">
        <f t="shared" si="8"/>
        <v>9437</v>
      </c>
      <c r="H33" s="9"/>
      <c r="I33" s="30">
        <f t="shared" si="4"/>
        <v>0.10751363255033557</v>
      </c>
      <c r="J33" s="9"/>
      <c r="K33" s="53">
        <f>D33*'2c. Average Premium'!$D$41</f>
        <v>13406584.679759096</v>
      </c>
    </row>
    <row r="34" spans="2:11" x14ac:dyDescent="0.2">
      <c r="H34" s="9"/>
    </row>
    <row r="35" spans="2:11" x14ac:dyDescent="0.2">
      <c r="H35" s="9"/>
    </row>
    <row r="40" spans="2:11" x14ac:dyDescent="0.2">
      <c r="D40" s="4"/>
    </row>
  </sheetData>
  <mergeCells count="3">
    <mergeCell ref="B7:C7"/>
    <mergeCell ref="B8:C8"/>
    <mergeCell ref="B9:C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Overview</vt:lpstr>
      <vt:lpstr>1. Policy Count</vt:lpstr>
      <vt:lpstr>2a. Premiums - stock</vt:lpstr>
      <vt:lpstr>2b. Premiums - sold</vt:lpstr>
      <vt:lpstr>2c. Average Premium</vt:lpstr>
      <vt:lpstr>3. Claims</vt:lpstr>
      <vt:lpstr>4. Technical account</vt:lpstr>
      <vt:lpstr>5a. Premiums - projection (Exp)</vt:lpstr>
      <vt:lpstr>5b. Premiums - projection (Lin)</vt:lpstr>
      <vt:lpstr>5c. Premiums - projection (Oxb)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Sandilands</dc:creator>
  <cp:lastModifiedBy>amy gould</cp:lastModifiedBy>
  <dcterms:created xsi:type="dcterms:W3CDTF">2017-06-17T11:30:16Z</dcterms:created>
  <dcterms:modified xsi:type="dcterms:W3CDTF">2020-09-28T20:01:48Z</dcterms:modified>
</cp:coreProperties>
</file>